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95" windowWidth="18195" windowHeight="11700" activeTab="2"/>
  </bookViews>
  <sheets>
    <sheet name="yfs 4265" sheetId="9" r:id="rId1"/>
    <sheet name="Payroll Spreadsheet no steps" sheetId="14" r:id="rId2"/>
    <sheet name="Non Budget Accounts" sheetId="15" r:id="rId3"/>
    <sheet name="Sheet1" sheetId="13" state="hidden" r:id="rId4"/>
  </sheets>
  <externalReferences>
    <externalReference r:id="rId5"/>
  </externalReferences>
  <calcPr calcId="114210"/>
</workbook>
</file>

<file path=xl/calcChain.xml><?xml version="1.0" encoding="utf-8"?>
<calcChain xmlns="http://schemas.openxmlformats.org/spreadsheetml/2006/main">
  <c r="S14" i="14"/>
  <c r="T14"/>
  <c r="T7"/>
  <c r="T13"/>
  <c r="T12"/>
  <c r="T11"/>
  <c r="T10"/>
  <c r="T9"/>
  <c r="T8"/>
  <c r="T6"/>
  <c r="T5"/>
  <c r="T4"/>
  <c r="T3"/>
  <c r="T2"/>
  <c r="R2"/>
  <c r="R14"/>
  <c r="S2"/>
  <c r="N2"/>
  <c r="N14"/>
  <c r="O2"/>
  <c r="O14"/>
  <c r="O15"/>
  <c r="D7"/>
  <c r="E7"/>
  <c r="F7"/>
  <c r="O7"/>
  <c r="S7"/>
  <c r="N39"/>
  <c r="O10"/>
  <c r="S10"/>
  <c r="O9"/>
  <c r="S9"/>
  <c r="F8"/>
  <c r="O8"/>
  <c r="N40"/>
  <c r="D6"/>
  <c r="E6"/>
  <c r="F6"/>
  <c r="O6"/>
  <c r="N38"/>
  <c r="D5"/>
  <c r="F5"/>
  <c r="O5"/>
  <c r="S5"/>
  <c r="N37"/>
  <c r="D4"/>
  <c r="F4"/>
  <c r="O4"/>
  <c r="S4"/>
  <c r="N36"/>
  <c r="O3"/>
  <c r="S3"/>
  <c r="N35"/>
  <c r="N34"/>
  <c r="N31"/>
  <c r="B34"/>
  <c r="B35"/>
  <c r="B36"/>
  <c r="B37"/>
  <c r="B38"/>
  <c r="B39"/>
  <c r="B40"/>
  <c r="B42"/>
  <c r="B43"/>
  <c r="B22"/>
  <c r="B23"/>
  <c r="B24"/>
  <c r="B25"/>
  <c r="B26"/>
  <c r="B27"/>
  <c r="B31"/>
  <c r="Q14"/>
  <c r="P14"/>
  <c r="O13"/>
  <c r="O12"/>
  <c r="O11"/>
  <c r="E13"/>
  <c r="N13"/>
  <c r="D2"/>
  <c r="D3"/>
  <c r="E3"/>
  <c r="N3"/>
  <c r="E4"/>
  <c r="N4"/>
  <c r="E5"/>
  <c r="N5"/>
  <c r="N6"/>
  <c r="N7"/>
  <c r="D8"/>
  <c r="E8"/>
  <c r="N8"/>
  <c r="N9"/>
  <c r="E10"/>
  <c r="N10"/>
  <c r="E11"/>
  <c r="N11"/>
  <c r="E12"/>
  <c r="N12"/>
  <c r="R3"/>
  <c r="R4"/>
  <c r="R5"/>
  <c r="R7"/>
  <c r="J4"/>
  <c r="J5"/>
  <c r="J7"/>
  <c r="J8"/>
  <c r="J14"/>
  <c r="G4"/>
  <c r="G5"/>
  <c r="G7"/>
  <c r="G8"/>
  <c r="G14"/>
  <c r="F14"/>
  <c r="E14"/>
  <c r="J15"/>
  <c r="G15"/>
  <c r="F15"/>
  <c r="D12"/>
  <c r="D11"/>
  <c r="C39" i="15"/>
  <c r="C37"/>
  <c r="C21"/>
  <c r="C19"/>
  <c r="C14"/>
  <c r="C9"/>
  <c r="J47" i="14"/>
  <c r="I2"/>
  <c r="I3"/>
  <c r="I4"/>
  <c r="I5"/>
  <c r="I6"/>
  <c r="I7"/>
  <c r="I8"/>
  <c r="I9"/>
  <c r="I11"/>
  <c r="I12"/>
  <c r="I14"/>
  <c r="I47"/>
  <c r="H2"/>
  <c r="H3"/>
  <c r="H4"/>
  <c r="H5"/>
  <c r="H7"/>
  <c r="H14"/>
  <c r="H47"/>
  <c r="G46"/>
  <c r="G47"/>
  <c r="F47"/>
  <c r="E47"/>
  <c r="I6" i="9"/>
  <c r="I32"/>
  <c r="L6"/>
  <c r="L32"/>
  <c r="S11" i="14"/>
  <c r="S39" i="9"/>
  <c r="T39"/>
  <c r="S33"/>
  <c r="R6"/>
  <c r="R33"/>
  <c r="K16"/>
  <c r="N25"/>
  <c r="M25"/>
  <c r="L25"/>
  <c r="J25"/>
  <c r="K24"/>
  <c r="K23"/>
  <c r="K22"/>
  <c r="K21"/>
  <c r="K20"/>
  <c r="K19"/>
  <c r="K18"/>
  <c r="K15"/>
  <c r="K14"/>
  <c r="K13"/>
  <c r="K12"/>
  <c r="K11"/>
  <c r="K10"/>
  <c r="K9"/>
  <c r="K8"/>
  <c r="K6"/>
  <c r="D26" i="13"/>
  <c r="G23"/>
  <c r="G26"/>
  <c r="I15"/>
  <c r="G15"/>
  <c r="H15"/>
  <c r="F15"/>
  <c r="F17"/>
  <c r="D15"/>
  <c r="D17"/>
  <c r="C15"/>
  <c r="C17"/>
  <c r="H14"/>
  <c r="E14"/>
  <c r="H13"/>
  <c r="E13"/>
  <c r="H12"/>
  <c r="E12"/>
  <c r="H11"/>
  <c r="E11"/>
  <c r="H10"/>
  <c r="E10"/>
  <c r="H9"/>
  <c r="E9"/>
  <c r="H6"/>
  <c r="E6"/>
  <c r="E15"/>
  <c r="G17"/>
  <c r="H24" i="9"/>
  <c r="H23"/>
  <c r="H10"/>
  <c r="E24"/>
  <c r="E23"/>
  <c r="E22"/>
  <c r="E10"/>
  <c r="I25"/>
  <c r="G25"/>
  <c r="F25"/>
  <c r="D25"/>
  <c r="C25"/>
  <c r="H22"/>
  <c r="H21"/>
  <c r="E21"/>
  <c r="H20"/>
  <c r="E20"/>
  <c r="H19"/>
  <c r="E19"/>
  <c r="H18"/>
  <c r="E18"/>
  <c r="H15"/>
  <c r="E15"/>
  <c r="H14"/>
  <c r="E14"/>
  <c r="H13"/>
  <c r="E13"/>
  <c r="H12"/>
  <c r="E12"/>
  <c r="H11"/>
  <c r="E11"/>
  <c r="H9"/>
  <c r="E9"/>
  <c r="H8"/>
  <c r="E8"/>
  <c r="H6"/>
  <c r="E6"/>
  <c r="C30"/>
  <c r="F30"/>
  <c r="K25"/>
  <c r="D30"/>
  <c r="G30"/>
  <c r="H25"/>
  <c r="E25"/>
  <c r="S15" i="14"/>
</calcChain>
</file>

<file path=xl/sharedStrings.xml><?xml version="1.0" encoding="utf-8"?>
<sst xmlns="http://schemas.openxmlformats.org/spreadsheetml/2006/main" count="316" uniqueCount="253">
  <si>
    <t>Account #</t>
  </si>
  <si>
    <t>Account</t>
  </si>
  <si>
    <t>2010-2011</t>
  </si>
  <si>
    <t>% over/</t>
  </si>
  <si>
    <t>2011-2012</t>
  </si>
  <si>
    <t>2012-2013</t>
  </si>
  <si>
    <t>2013-2014</t>
  </si>
  <si>
    <t>(under)</t>
  </si>
  <si>
    <t>%</t>
  </si>
  <si>
    <t>Budget</t>
  </si>
  <si>
    <t>Actual</t>
  </si>
  <si>
    <t xml:space="preserve"> Budget</t>
  </si>
  <si>
    <t>YTD</t>
  </si>
  <si>
    <t>Spent</t>
  </si>
  <si>
    <t xml:space="preserve">Personnel </t>
  </si>
  <si>
    <t>CL&amp;P Co</t>
  </si>
  <si>
    <t>Phone Service</t>
  </si>
  <si>
    <t>Contractual</t>
  </si>
  <si>
    <t>Total</t>
  </si>
  <si>
    <t>Fica</t>
  </si>
  <si>
    <t>Life Insurance</t>
  </si>
  <si>
    <t>BC/BS</t>
  </si>
  <si>
    <t>Pension</t>
  </si>
  <si>
    <t>Total with Fixed Charges</t>
  </si>
  <si>
    <t>Office Supplies</t>
  </si>
  <si>
    <t xml:space="preserve">    Total</t>
  </si>
  <si>
    <t>Narrative/Notes:</t>
  </si>
  <si>
    <t>CT Water</t>
  </si>
  <si>
    <t>Postage</t>
  </si>
  <si>
    <t>Unemployment Comp</t>
  </si>
  <si>
    <t>Overtime</t>
  </si>
  <si>
    <t>Printing</t>
  </si>
  <si>
    <t xml:space="preserve">  Miscellaneous</t>
  </si>
  <si>
    <t>Miscellaneous</t>
  </si>
  <si>
    <t>Professional Expenses</t>
  </si>
  <si>
    <t>4265- Y&amp;FS</t>
  </si>
  <si>
    <t>1-100-4265-010-00</t>
  </si>
  <si>
    <t>1-100-4265-013-00</t>
  </si>
  <si>
    <t>1-100-4265-020-01</t>
  </si>
  <si>
    <t>1-100-4265-020-02</t>
  </si>
  <si>
    <t>1-100-4265-020-03</t>
  </si>
  <si>
    <t>1-100-4265-020-04</t>
  </si>
  <si>
    <t>1-100-4265-030-01</t>
  </si>
  <si>
    <t>1-100-4265-030-02</t>
  </si>
  <si>
    <t>1-100-4265-030-03</t>
  </si>
  <si>
    <t>Heating Oil</t>
  </si>
  <si>
    <t>1-100-4265-030-04</t>
  </si>
  <si>
    <t>1-100-4265-030-05</t>
  </si>
  <si>
    <t>1-100-4265-030-06</t>
  </si>
  <si>
    <t>1-100-4265-030-07</t>
  </si>
  <si>
    <t>1-100-4265-030-10</t>
  </si>
  <si>
    <t>Travel/Mileage</t>
  </si>
  <si>
    <t>1-100-4265-031-45</t>
  </si>
  <si>
    <t>1-100-4265-031-59</t>
  </si>
  <si>
    <t>Conference Expenses</t>
  </si>
  <si>
    <t>1-100-4265-031-61</t>
  </si>
  <si>
    <t>Exterior Maintenance</t>
  </si>
  <si>
    <t>1-100-4265-031-63</t>
  </si>
  <si>
    <t>Interior Maintenance</t>
  </si>
  <si>
    <t>1-100-4265-031-64</t>
  </si>
  <si>
    <t>Maintenance &amp; General</t>
  </si>
  <si>
    <t>1-100-4265-031-66</t>
  </si>
  <si>
    <t>Vehicle</t>
  </si>
  <si>
    <t>1-100-4265-040-00</t>
  </si>
  <si>
    <t>1-100-4265-060-00</t>
  </si>
  <si>
    <t>East River Energy</t>
  </si>
  <si>
    <t>Oil Service Contract</t>
  </si>
  <si>
    <t>Youth &amp; Family Serv</t>
  </si>
  <si>
    <t>Planning Commission</t>
  </si>
  <si>
    <t>1-100-4226-010-00</t>
  </si>
  <si>
    <t>1-100-4226-012-00</t>
  </si>
  <si>
    <t>1-100-4226-030-00-00</t>
  </si>
  <si>
    <t>Expenses &amp; Supplies</t>
  </si>
  <si>
    <t>1-100-4226-030-04-00</t>
  </si>
  <si>
    <t xml:space="preserve">Postage </t>
  </si>
  <si>
    <t>1-100-4226-030-06-00</t>
  </si>
  <si>
    <t>1-100-4226-030-08-00</t>
  </si>
  <si>
    <t>Legal Advertising</t>
  </si>
  <si>
    <t>1-100-4226-030-41-00</t>
  </si>
  <si>
    <t>Dues/Conferences</t>
  </si>
  <si>
    <t>1-100-4226-030-68-00</t>
  </si>
  <si>
    <t>Education &amp; Training</t>
  </si>
  <si>
    <t>1-100-4226-040-00-00</t>
  </si>
  <si>
    <t>4226 - Planning Comm</t>
  </si>
  <si>
    <t>1-100-4226-020-01</t>
  </si>
  <si>
    <t xml:space="preserve">  Nathan L. Jacobsen</t>
  </si>
  <si>
    <t>Consulting Engineer</t>
  </si>
  <si>
    <t xml:space="preserve">  Branse, Willis &amp; Knapp LLC</t>
  </si>
  <si>
    <t>Legal Fees</t>
  </si>
  <si>
    <t xml:space="preserve">  I Zone</t>
  </si>
  <si>
    <t>Signage</t>
  </si>
  <si>
    <t xml:space="preserve">  Veroni/Post Reporting Service</t>
  </si>
  <si>
    <t>Transciption Services</t>
  </si>
  <si>
    <t xml:space="preserve">  Applied Geographics</t>
  </si>
  <si>
    <t>Planimetric Data</t>
  </si>
  <si>
    <t>Total - Y&amp;FS</t>
  </si>
  <si>
    <t>Prepaid Gasoline</t>
  </si>
  <si>
    <t>BOS</t>
  </si>
  <si>
    <t>BOF</t>
  </si>
  <si>
    <t>Dept. Prop.</t>
  </si>
  <si>
    <t>2014-2015</t>
  </si>
  <si>
    <t>FY 2012 Actual</t>
  </si>
  <si>
    <t>FY 2013 Actual</t>
  </si>
  <si>
    <t>FY 2015 Budget</t>
  </si>
  <si>
    <t>1-100-4265-030-67</t>
  </si>
  <si>
    <t>Director</t>
  </si>
  <si>
    <t>Adm Asst</t>
  </si>
  <si>
    <t>Counselor 
M. Tyler</t>
  </si>
  <si>
    <t>57% of Melinda's 35 hrs.</t>
  </si>
  <si>
    <t>Melinda</t>
  </si>
  <si>
    <t>33% of Chelsea's 30 hrs.</t>
  </si>
  <si>
    <t>Chelsea</t>
  </si>
  <si>
    <t>100% of Heather's 40 hrs.</t>
  </si>
  <si>
    <t>Heather</t>
  </si>
  <si>
    <t>100% of Linda's 37.5 hrs.</t>
  </si>
  <si>
    <t>Linda</t>
  </si>
  <si>
    <t>50% of Sal's 2.5 hrs.</t>
  </si>
  <si>
    <t>Sal</t>
  </si>
  <si>
    <t>Wendy</t>
  </si>
  <si>
    <t>0% of Julie's 18 hrs.</t>
  </si>
  <si>
    <t>Program Coord 
J. Moskowitz</t>
  </si>
  <si>
    <t xml:space="preserve">Program Coord 
W.  Mill </t>
  </si>
  <si>
    <t>Hourly
Rate 2014</t>
  </si>
  <si>
    <t>24.11
(rate since Oct 2010)</t>
  </si>
  <si>
    <t>YFS Staff Person</t>
  </si>
  <si>
    <t>Counselor 
S. Bruzzese</t>
  </si>
  <si>
    <t>Counselor 
C. Graham</t>
  </si>
  <si>
    <t>varies
non-union</t>
  </si>
  <si>
    <t>Program Assistants Tyler Massie, Michael Cronin, Kelsey Christensen</t>
  </si>
  <si>
    <t>12.00 - 15.00/hr</t>
  </si>
  <si>
    <t>Total Payroll - all funding sources</t>
  </si>
  <si>
    <t>Commission Clerk
Sharon Tiezzi</t>
  </si>
  <si>
    <t>Group Facilitator
J. Deal</t>
  </si>
  <si>
    <t>Pension Match @ 6.25% - all funding sources</t>
  </si>
  <si>
    <t>Soc Sec/Medicare
Match @ 7.65% - all funding sources</t>
  </si>
  <si>
    <t>208/yr counseling &amp;
125/yr wilderness</t>
  </si>
  <si>
    <t>11% of Wendy's 30 hrs.</t>
  </si>
  <si>
    <t>12/20 spent</t>
  </si>
  <si>
    <t>Progr Exp</t>
  </si>
  <si>
    <t>Comm email</t>
  </si>
  <si>
    <t>pension</t>
  </si>
  <si>
    <t>emp tax</t>
  </si>
  <si>
    <t>total</t>
  </si>
  <si>
    <t>$$ spent</t>
  </si>
  <si>
    <r>
      <t xml:space="preserve">from </t>
    </r>
    <r>
      <rPr>
        <b/>
        <i/>
        <sz val="11"/>
        <color indexed="8"/>
        <rFont val="Calibri"/>
        <family val="2"/>
      </rPr>
      <t>all</t>
    </r>
  </si>
  <si>
    <r>
      <t>town $</t>
    </r>
    <r>
      <rPr>
        <b/>
        <sz val="11"/>
        <color indexed="8"/>
        <rFont val="Calibri"/>
        <family val="2"/>
      </rPr>
      <t xml:space="preserve"> as of </t>
    </r>
  </si>
  <si>
    <t>as of 12/20</t>
  </si>
  <si>
    <t>FY 2014 Total</t>
  </si>
  <si>
    <t>Proposed Total</t>
  </si>
  <si>
    <t>Counselor Tyler Massie</t>
  </si>
  <si>
    <t>n/a</t>
  </si>
  <si>
    <t>Added licensure fees for 3 licensed clinicians ($1030); CT Youth Svc Association membership fee ($400); LMFT association dues ($325)</t>
  </si>
  <si>
    <t>Added training registration fees for 3 clinicians to Conference expense</t>
  </si>
  <si>
    <t>ordered</t>
  </si>
  <si>
    <t>Proposed Changes</t>
  </si>
  <si>
    <t>Professional</t>
  </si>
  <si>
    <t>Conference</t>
  </si>
  <si>
    <t>Phone/Fax/Alarm Svc</t>
  </si>
  <si>
    <t>Electric Svc</t>
  </si>
  <si>
    <r>
      <t>Contractual</t>
    </r>
    <r>
      <rPr>
        <sz val="10"/>
        <rFont val="Times New Roman"/>
        <family val="1"/>
      </rPr>
      <t xml:space="preserve"> counselor &amp; Wilderness Coord.
Counselor B. Partyka</t>
    </r>
  </si>
  <si>
    <t>40% of AT&amp;T and 33% of Nextel bills will be moved from YFS to Social Services = 1830</t>
  </si>
  <si>
    <t>First Class Postage increases January 2014</t>
  </si>
  <si>
    <t>Additional Heating Note</t>
  </si>
  <si>
    <t>We do not know the status of furnace conversion to gas furnace; this may impact the Heating budget.</t>
  </si>
  <si>
    <t>2015
Anticipated
from Grants (Level funding)</t>
  </si>
  <si>
    <t>FY 2015 Anticipated
from Client Fees</t>
  </si>
  <si>
    <t>Total Payroll &amp; Contractual</t>
  </si>
  <si>
    <t>Grants</t>
  </si>
  <si>
    <t>State Dept of Education Youth Service Bureau Grant</t>
  </si>
  <si>
    <t>State Dept of Education Enhancement Grant</t>
  </si>
  <si>
    <t>United Way Assets in Action Grant</t>
  </si>
  <si>
    <t>United Way Early Childhood Identification &amp; Intervention Grant</t>
  </si>
  <si>
    <t>Middlesex Cty Substance Abuse Action Council Grant</t>
  </si>
  <si>
    <t>Fees</t>
  </si>
  <si>
    <t>Counseling (self-pay &amp; insurance)</t>
  </si>
  <si>
    <t>Programs (fees &amp; co-sponsor reimbursements)</t>
  </si>
  <si>
    <t>Donations</t>
  </si>
  <si>
    <t>Restricted</t>
  </si>
  <si>
    <t>Discretionary</t>
  </si>
  <si>
    <t>Revenue</t>
  </si>
  <si>
    <t>Expenditures</t>
  </si>
  <si>
    <t>Payroll</t>
  </si>
  <si>
    <t>Employer FICA/Medicare Match</t>
  </si>
  <si>
    <t>Employer Pension Match</t>
  </si>
  <si>
    <t>Facilities &amp; Equipment &amp; Utilities</t>
  </si>
  <si>
    <t>Operations: Office Supplies, Subscriptions/Memberships, Phones, etc</t>
  </si>
  <si>
    <t>Advertising</t>
  </si>
  <si>
    <t>Conference/Training</t>
  </si>
  <si>
    <t>Pass-through YSB grant sub-contractors</t>
  </si>
  <si>
    <t>Counseling &amp; Program Supplies</t>
  </si>
  <si>
    <t>Travel/Mileage Reimbursement</t>
  </si>
  <si>
    <t>Van Expenses</t>
  </si>
  <si>
    <t>Actual FY 2013</t>
  </si>
  <si>
    <t>Julie</t>
  </si>
  <si>
    <t>Hourly
Rate 2015
no steps</t>
  </si>
  <si>
    <t>Director
currently step 2</t>
  </si>
  <si>
    <t>Adm Asst
currently step 5</t>
  </si>
  <si>
    <t>Counselor 
M. Tyler - step 3</t>
  </si>
  <si>
    <t>Counselor 
C. Graham - step 3</t>
  </si>
  <si>
    <t>Program Coord 
W.  Mill - step 5</t>
  </si>
  <si>
    <t>12.25-15.26</t>
  </si>
  <si>
    <r>
      <t xml:space="preserve">Proposed Hours - </t>
    </r>
    <r>
      <rPr>
        <b/>
        <i/>
        <sz val="10"/>
        <rFont val="Times New Roman"/>
        <family val="1"/>
      </rPr>
      <t>all funding sources</t>
    </r>
  </si>
  <si>
    <r>
      <t xml:space="preserve">Program Coord 
J. Moskowitz - </t>
    </r>
    <r>
      <rPr>
        <b/>
        <sz val="10"/>
        <rFont val="Times New Roman"/>
        <family val="1"/>
      </rPr>
      <t>avg 42 wks</t>
    </r>
  </si>
  <si>
    <r>
      <t xml:space="preserve">Counselor 
S. Bruzzese - </t>
    </r>
    <r>
      <rPr>
        <b/>
        <sz val="10"/>
        <rFont val="Times New Roman"/>
        <family val="1"/>
      </rPr>
      <t>avg 46 wks</t>
    </r>
  </si>
  <si>
    <t xml:space="preserve">Group Facilitator
J. Deal </t>
  </si>
  <si>
    <t>72 - hrs per year</t>
  </si>
  <si>
    <t>30 - hrs per year</t>
  </si>
  <si>
    <t xml:space="preserve">Commission Clerk
Sharon Tiezzi </t>
  </si>
  <si>
    <t>2015 Annualized Salary 
no steps</t>
  </si>
  <si>
    <t>2015 
Town Budget Request
no steps</t>
  </si>
  <si>
    <t>% of total payroll</t>
  </si>
  <si>
    <t>Vacation Coverage</t>
  </si>
  <si>
    <t>Pension Match @ 6.5% - all funding sources</t>
  </si>
  <si>
    <t>Vacation Coverage Reception Area</t>
  </si>
  <si>
    <t>Health Insurance Prem paid by Town</t>
  </si>
  <si>
    <t>incentive pymt?</t>
  </si>
  <si>
    <t>Life Ins prem paid by Town</t>
  </si>
  <si>
    <t>105 hrs per year? = 35/wk for 3 wks</t>
  </si>
  <si>
    <t>Commission Clerk</t>
  </si>
  <si>
    <t>57% of Melinda's 37.5 hrs.</t>
  </si>
  <si>
    <t>43% of Chelsea's 30 hrs.</t>
  </si>
  <si>
    <t>31.25% of Sal's 4 hrs.</t>
  </si>
  <si>
    <t>33% of Julie's 18 hrs.</t>
  </si>
  <si>
    <t>100% of Commission Clerk's hrs</t>
  </si>
  <si>
    <t>0% of Commission Clerk - ommitted</t>
  </si>
  <si>
    <t>0% of Vacation Coverage</t>
  </si>
  <si>
    <t>100% Vacation Coverage</t>
  </si>
  <si>
    <t>FY 2014 % Town payroll support of position</t>
  </si>
  <si>
    <t>FY 2015 Proposed % Town payroll support</t>
  </si>
  <si>
    <t>Cheslea</t>
  </si>
  <si>
    <t>FY 2015 Proposed Town support of taxes and benefits</t>
  </si>
  <si>
    <t>% of total</t>
  </si>
  <si>
    <t>Net offset by balances forward in fees and donations June 30, 2012</t>
  </si>
  <si>
    <t>Total Non-Budget Expenditures FY 2013</t>
  </si>
  <si>
    <t>Total Non-Budget Revenue FY 2013</t>
  </si>
  <si>
    <t>26.8% of electric bills will be moved from YFS to Social Services = 563</t>
  </si>
  <si>
    <t>26.8% of heating oil will be moved from YFS to Social Services = 1,179</t>
  </si>
  <si>
    <t>Mileage Reimbursement rate decreased slightly January 1, 2014</t>
  </si>
  <si>
    <t>Total Fixed Charges</t>
  </si>
  <si>
    <t>Contractual staff</t>
  </si>
  <si>
    <r>
      <t xml:space="preserve">Hours - </t>
    </r>
    <r>
      <rPr>
        <b/>
        <i/>
        <sz val="10"/>
        <rFont val="Times New Roman"/>
        <family val="1"/>
      </rPr>
      <t>all funding sources</t>
    </r>
  </si>
  <si>
    <t xml:space="preserve">2015 Annualized  
</t>
  </si>
  <si>
    <t xml:space="preserve">2015 
Town Budget 
</t>
  </si>
  <si>
    <t>2015
from Grants</t>
  </si>
  <si>
    <t>FY 2015
from  Fees</t>
  </si>
  <si>
    <r>
      <t xml:space="preserve">Non Budget Accounts FY 2013 </t>
    </r>
    <r>
      <rPr>
        <b/>
        <i/>
        <sz val="10"/>
        <color indexed="8"/>
        <rFont val="Calibri"/>
        <family val="2"/>
      </rPr>
      <t>Actual</t>
    </r>
  </si>
  <si>
    <t>Pension Match @ 6.5% paid by Town</t>
  </si>
  <si>
    <t>Total Fixed Charges Paid by Town</t>
  </si>
  <si>
    <t>Soc Sec/ Medicare
Match @ 7.65% - all funding sources</t>
  </si>
  <si>
    <t>Soc Sec/ Medicare Match @ 7.65% paid by Town</t>
  </si>
  <si>
    <t>FY 2014 Budgeted Town support of taxes and benefits</t>
  </si>
  <si>
    <t>Wendy's does not include health; if 30 hrs becomes eligible may need to adjust</t>
  </si>
  <si>
    <t>Fixed charges are not in YFS budget - appear in separate part of Gen'l Gov't Budget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</si>
</sst>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%_);\(0.00%\)"/>
    <numFmt numFmtId="166" formatCode="_(&quot;$&quot;* #,##0_);_(&quot;$&quot;* \(#,##0\);_(&quot;$&quot;* &quot;-&quot;??_);_(@_)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Arial"/>
      <family val="2"/>
    </font>
    <font>
      <u val="singleAccounting"/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</font>
    <font>
      <sz val="10"/>
      <name val="Times New Roman"/>
      <family val="1"/>
    </font>
    <font>
      <b/>
      <i/>
      <sz val="10"/>
      <name val="Times New Roman"/>
      <family val="1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9">
    <xf numFmtId="0" fontId="0" fillId="0" borderId="0" xfId="0"/>
    <xf numFmtId="0" fontId="3" fillId="0" borderId="1" xfId="0" applyFont="1" applyBorder="1"/>
    <xf numFmtId="165" fontId="3" fillId="0" borderId="2" xfId="3" applyNumberFormat="1" applyFont="1" applyBorder="1" applyAlignment="1">
      <alignment horizontal="center"/>
    </xf>
    <xf numFmtId="165" fontId="3" fillId="0" borderId="3" xfId="3" applyNumberFormat="1" applyFont="1" applyBorder="1" applyAlignment="1">
      <alignment horizontal="center"/>
    </xf>
    <xf numFmtId="0" fontId="3" fillId="0" borderId="2" xfId="0" applyFont="1" applyBorder="1"/>
    <xf numFmtId="164" fontId="3" fillId="0" borderId="2" xfId="1" applyNumberFormat="1" applyFont="1" applyBorder="1"/>
    <xf numFmtId="0" fontId="3" fillId="0" borderId="0" xfId="0" applyFont="1"/>
    <xf numFmtId="0" fontId="3" fillId="0" borderId="4" xfId="0" applyFont="1" applyBorder="1"/>
    <xf numFmtId="164" fontId="3" fillId="0" borderId="5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5" fontId="3" fillId="0" borderId="6" xfId="3" applyNumberFormat="1" applyFont="1" applyBorder="1" applyAlignment="1">
      <alignment horizontal="center"/>
    </xf>
    <xf numFmtId="165" fontId="3" fillId="0" borderId="0" xfId="3" applyNumberFormat="1" applyFont="1" applyBorder="1" applyAlignment="1">
      <alignment horizontal="center"/>
    </xf>
    <xf numFmtId="164" fontId="3" fillId="0" borderId="6" xfId="1" applyNumberFormat="1" applyFont="1" applyBorder="1"/>
    <xf numFmtId="0" fontId="3" fillId="0" borderId="7" xfId="0" applyFont="1" applyBorder="1"/>
    <xf numFmtId="164" fontId="3" fillId="0" borderId="8" xfId="1" applyNumberFormat="1" applyFont="1" applyBorder="1"/>
    <xf numFmtId="164" fontId="3" fillId="0" borderId="9" xfId="1" applyNumberFormat="1" applyFont="1" applyBorder="1"/>
    <xf numFmtId="165" fontId="3" fillId="0" borderId="10" xfId="3" applyNumberFormat="1" applyFont="1" applyBorder="1" applyAlignment="1">
      <alignment horizontal="center"/>
    </xf>
    <xf numFmtId="165" fontId="3" fillId="0" borderId="9" xfId="3" applyNumberFormat="1" applyFont="1" applyBorder="1" applyAlignment="1">
      <alignment horizontal="center"/>
    </xf>
    <xf numFmtId="164" fontId="3" fillId="0" borderId="10" xfId="1" applyNumberFormat="1" applyFont="1" applyBorder="1"/>
    <xf numFmtId="0" fontId="0" fillId="0" borderId="1" xfId="0" applyBorder="1"/>
    <xf numFmtId="164" fontId="0" fillId="0" borderId="11" xfId="1" applyNumberFormat="1" applyFont="1" applyBorder="1"/>
    <xf numFmtId="164" fontId="0" fillId="0" borderId="3" xfId="1" applyNumberFormat="1" applyFont="1" applyBorder="1"/>
    <xf numFmtId="164" fontId="0" fillId="0" borderId="2" xfId="1" applyNumberFormat="1" applyFont="1" applyBorder="1"/>
    <xf numFmtId="0" fontId="4" fillId="0" borderId="4" xfId="0" applyFont="1" applyBorder="1" applyAlignment="1">
      <alignment horizontal="left"/>
    </xf>
    <xf numFmtId="0" fontId="4" fillId="0" borderId="4" xfId="0" applyFont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164" fontId="0" fillId="0" borderId="6" xfId="1" applyNumberFormat="1" applyFont="1" applyBorder="1"/>
    <xf numFmtId="0" fontId="0" fillId="0" borderId="4" xfId="0" applyBorder="1"/>
    <xf numFmtId="166" fontId="0" fillId="0" borderId="5" xfId="2" applyNumberFormat="1" applyFont="1" applyBorder="1"/>
    <xf numFmtId="166" fontId="0" fillId="0" borderId="0" xfId="2" applyNumberFormat="1" applyFont="1" applyBorder="1"/>
    <xf numFmtId="165" fontId="0" fillId="0" borderId="6" xfId="3" applyNumberFormat="1" applyFont="1" applyBorder="1"/>
    <xf numFmtId="165" fontId="0" fillId="0" borderId="0" xfId="3" applyNumberFormat="1" applyFont="1" applyBorder="1"/>
    <xf numFmtId="166" fontId="0" fillId="0" borderId="6" xfId="2" applyNumberFormat="1" applyFont="1" applyBorder="1"/>
    <xf numFmtId="0" fontId="0" fillId="0" borderId="0" xfId="0" applyFont="1"/>
    <xf numFmtId="164" fontId="0" fillId="0" borderId="8" xfId="1" applyNumberFormat="1" applyFont="1" applyBorder="1"/>
    <xf numFmtId="164" fontId="0" fillId="0" borderId="9" xfId="1" applyNumberFormat="1" applyFont="1" applyBorder="1"/>
    <xf numFmtId="165" fontId="0" fillId="0" borderId="10" xfId="3" applyNumberFormat="1" applyFont="1" applyBorder="1"/>
    <xf numFmtId="165" fontId="0" fillId="0" borderId="9" xfId="3" applyNumberFormat="1" applyFont="1" applyBorder="1"/>
    <xf numFmtId="164" fontId="0" fillId="0" borderId="10" xfId="1" applyNumberFormat="1" applyFont="1" applyBorder="1"/>
    <xf numFmtId="166" fontId="3" fillId="0" borderId="8" xfId="2" applyNumberFormat="1" applyFont="1" applyBorder="1"/>
    <xf numFmtId="166" fontId="3" fillId="0" borderId="9" xfId="2" applyNumberFormat="1" applyFont="1" applyBorder="1"/>
    <xf numFmtId="165" fontId="3" fillId="0" borderId="10" xfId="3" applyNumberFormat="1" applyFont="1" applyBorder="1"/>
    <xf numFmtId="165" fontId="3" fillId="0" borderId="9" xfId="3" applyNumberFormat="1" applyFont="1" applyBorder="1"/>
    <xf numFmtId="166" fontId="3" fillId="0" borderId="10" xfId="2" applyNumberFormat="1" applyFont="1" applyBorder="1"/>
    <xf numFmtId="0" fontId="0" fillId="0" borderId="4" xfId="0" applyFont="1" applyBorder="1" applyAlignment="1">
      <alignment horizontal="left"/>
    </xf>
    <xf numFmtId="0" fontId="0" fillId="0" borderId="4" xfId="0" applyFont="1" applyBorder="1"/>
    <xf numFmtId="0" fontId="0" fillId="0" borderId="5" xfId="0" applyFont="1" applyBorder="1" applyAlignment="1">
      <alignment horizontal="left"/>
    </xf>
    <xf numFmtId="0" fontId="0" fillId="0" borderId="0" xfId="0" applyBorder="1"/>
    <xf numFmtId="0" fontId="3" fillId="0" borderId="9" xfId="0" applyFont="1" applyBorder="1"/>
    <xf numFmtId="164" fontId="0" fillId="0" borderId="0" xfId="1" applyNumberFormat="1" applyFont="1"/>
    <xf numFmtId="0" fontId="5" fillId="0" borderId="0" xfId="0" applyFont="1" applyFill="1" applyAlignment="1">
      <alignment horizontal="right"/>
    </xf>
    <xf numFmtId="0" fontId="0" fillId="0" borderId="0" xfId="0" applyFill="1" applyBorder="1"/>
    <xf numFmtId="164" fontId="0" fillId="0" borderId="0" xfId="0" applyNumberFormat="1"/>
    <xf numFmtId="0" fontId="3" fillId="0" borderId="7" xfId="0" applyFont="1" applyBorder="1" applyAlignment="1">
      <alignment horizontal="left"/>
    </xf>
    <xf numFmtId="164" fontId="3" fillId="0" borderId="1" xfId="1" applyNumberFormat="1" applyFont="1" applyBorder="1"/>
    <xf numFmtId="164" fontId="0" fillId="0" borderId="4" xfId="1" applyNumberFormat="1" applyFont="1" applyBorder="1"/>
    <xf numFmtId="0" fontId="0" fillId="0" borderId="7" xfId="0" applyBorder="1"/>
    <xf numFmtId="164" fontId="6" fillId="0" borderId="0" xfId="1" applyNumberFormat="1" applyFont="1" applyBorder="1"/>
    <xf numFmtId="164" fontId="3" fillId="0" borderId="2" xfId="1" applyNumberFormat="1" applyFont="1" applyBorder="1" applyAlignment="1">
      <alignment horizontal="center"/>
    </xf>
    <xf numFmtId="10" fontId="0" fillId="0" borderId="6" xfId="3" applyNumberFormat="1" applyFont="1" applyBorder="1"/>
    <xf numFmtId="10" fontId="0" fillId="0" borderId="10" xfId="3" applyNumberFormat="1" applyFont="1" applyBorder="1"/>
    <xf numFmtId="0" fontId="0" fillId="0" borderId="5" xfId="0" applyBorder="1"/>
    <xf numFmtId="10" fontId="0" fillId="0" borderId="2" xfId="3" applyNumberFormat="1" applyFont="1" applyBorder="1"/>
    <xf numFmtId="14" fontId="3" fillId="0" borderId="0" xfId="1" applyNumberFormat="1" applyFont="1" applyBorder="1" applyAlignment="1">
      <alignment horizontal="center"/>
    </xf>
    <xf numFmtId="10" fontId="3" fillId="0" borderId="6" xfId="3" applyNumberFormat="1" applyFont="1" applyBorder="1" applyAlignment="1">
      <alignment horizontal="center"/>
    </xf>
    <xf numFmtId="10" fontId="3" fillId="0" borderId="10" xfId="3" applyNumberFormat="1" applyFont="1" applyBorder="1"/>
    <xf numFmtId="166" fontId="0" fillId="0" borderId="0" xfId="0" applyNumberFormat="1"/>
    <xf numFmtId="0" fontId="0" fillId="0" borderId="4" xfId="0" applyFill="1" applyBorder="1"/>
    <xf numFmtId="164" fontId="0" fillId="0" borderId="1" xfId="1" applyNumberFormat="1" applyFont="1" applyBorder="1"/>
    <xf numFmtId="0" fontId="3" fillId="0" borderId="4" xfId="0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6" fontId="2" fillId="0" borderId="4" xfId="2" applyNumberFormat="1" applyFont="1" applyBorder="1"/>
    <xf numFmtId="164" fontId="3" fillId="0" borderId="5" xfId="1" applyNumberFormat="1" applyFont="1" applyBorder="1"/>
    <xf numFmtId="166" fontId="2" fillId="0" borderId="5" xfId="2" applyNumberFormat="1" applyFont="1" applyBorder="1"/>
    <xf numFmtId="0" fontId="7" fillId="0" borderId="0" xfId="0" applyFont="1" applyFill="1" applyAlignment="1">
      <alignment horizontal="right"/>
    </xf>
    <xf numFmtId="164" fontId="0" fillId="0" borderId="0" xfId="1" applyNumberFormat="1" applyFont="1" applyFill="1" applyBorder="1"/>
    <xf numFmtId="0" fontId="9" fillId="0" borderId="12" xfId="0" applyFont="1" applyBorder="1" applyAlignment="1">
      <alignment wrapText="1"/>
    </xf>
    <xf numFmtId="0" fontId="10" fillId="0" borderId="12" xfId="0" applyFont="1" applyBorder="1" applyAlignment="1">
      <alignment vertical="top" wrapText="1"/>
    </xf>
    <xf numFmtId="0" fontId="11" fillId="0" borderId="0" xfId="0" applyFont="1" applyBorder="1" applyAlignment="1"/>
    <xf numFmtId="0" fontId="12" fillId="0" borderId="12" xfId="0" applyFont="1" applyBorder="1" applyAlignment="1">
      <alignment vertical="top" wrapText="1"/>
    </xf>
    <xf numFmtId="0" fontId="12" fillId="0" borderId="12" xfId="0" applyFont="1" applyBorder="1" applyAlignment="1">
      <alignment horizontal="center" vertical="top" wrapText="1"/>
    </xf>
    <xf numFmtId="4" fontId="12" fillId="0" borderId="0" xfId="0" applyNumberFormat="1" applyFont="1" applyBorder="1" applyAlignment="1"/>
    <xf numFmtId="0" fontId="12" fillId="0" borderId="0" xfId="0" applyFont="1" applyBorder="1" applyAlignment="1"/>
    <xf numFmtId="0" fontId="10" fillId="0" borderId="0" xfId="0" applyFont="1" applyBorder="1" applyAlignment="1">
      <alignment horizontal="right"/>
    </xf>
    <xf numFmtId="4" fontId="10" fillId="0" borderId="0" xfId="0" applyNumberFormat="1" applyFont="1" applyBorder="1" applyAlignment="1"/>
    <xf numFmtId="0" fontId="10" fillId="0" borderId="0" xfId="0" applyFont="1" applyBorder="1" applyAlignment="1"/>
    <xf numFmtId="4" fontId="11" fillId="0" borderId="0" xfId="0" applyNumberFormat="1" applyFont="1" applyBorder="1" applyAlignment="1"/>
    <xf numFmtId="10" fontId="12" fillId="0" borderId="0" xfId="0" applyNumberFormat="1" applyFont="1" applyBorder="1" applyAlignment="1"/>
    <xf numFmtId="3" fontId="10" fillId="0" borderId="12" xfId="0" applyNumberFormat="1" applyFont="1" applyBorder="1" applyAlignment="1">
      <alignment vertical="top" wrapText="1"/>
    </xf>
    <xf numFmtId="3" fontId="12" fillId="0" borderId="12" xfId="0" applyNumberFormat="1" applyFont="1" applyBorder="1" applyAlignment="1">
      <alignment vertical="top" wrapText="1"/>
    </xf>
    <xf numFmtId="3" fontId="12" fillId="0" borderId="0" xfId="0" applyNumberFormat="1" applyFont="1" applyBorder="1" applyAlignment="1"/>
    <xf numFmtId="3" fontId="12" fillId="0" borderId="10" xfId="0" applyNumberFormat="1" applyFont="1" applyBorder="1" applyAlignment="1"/>
    <xf numFmtId="3" fontId="11" fillId="0" borderId="0" xfId="0" applyNumberFormat="1" applyFont="1" applyBorder="1" applyAlignment="1"/>
    <xf numFmtId="3" fontId="10" fillId="0" borderId="0" xfId="0" applyNumberFormat="1" applyFont="1" applyBorder="1" applyAlignment="1"/>
    <xf numFmtId="2" fontId="12" fillId="0" borderId="12" xfId="0" applyNumberFormat="1" applyFont="1" applyBorder="1" applyAlignment="1">
      <alignment horizontal="left" vertical="top" wrapText="1"/>
    </xf>
    <xf numFmtId="0" fontId="12" fillId="0" borderId="13" xfId="0" applyFont="1" applyBorder="1" applyAlignment="1">
      <alignment vertical="top" wrapText="1"/>
    </xf>
    <xf numFmtId="0" fontId="12" fillId="0" borderId="13" xfId="0" applyFont="1" applyBorder="1" applyAlignment="1">
      <alignment horizontal="center" vertical="top" wrapText="1"/>
    </xf>
    <xf numFmtId="2" fontId="12" fillId="0" borderId="13" xfId="0" applyNumberFormat="1" applyFont="1" applyBorder="1" applyAlignment="1">
      <alignment horizontal="left" vertical="top" wrapText="1"/>
    </xf>
    <xf numFmtId="3" fontId="3" fillId="0" borderId="0" xfId="0" applyNumberFormat="1" applyFont="1"/>
    <xf numFmtId="3" fontId="0" fillId="0" borderId="0" xfId="0" applyNumberFormat="1"/>
    <xf numFmtId="3" fontId="0" fillId="0" borderId="0" xfId="0" applyNumberFormat="1" applyFont="1"/>
    <xf numFmtId="3" fontId="0" fillId="0" borderId="0" xfId="1" applyNumberFormat="1" applyFont="1"/>
    <xf numFmtId="0" fontId="0" fillId="0" borderId="0" xfId="0" applyAlignment="1">
      <alignment horizontal="right"/>
    </xf>
    <xf numFmtId="3" fontId="14" fillId="0" borderId="0" xfId="0" applyNumberFormat="1" applyFont="1"/>
    <xf numFmtId="0" fontId="15" fillId="0" borderId="0" xfId="0" applyFont="1"/>
    <xf numFmtId="0" fontId="12" fillId="0" borderId="5" xfId="0" applyFont="1" applyBorder="1" applyAlignment="1">
      <alignment horizontal="left"/>
    </xf>
    <xf numFmtId="3" fontId="12" fillId="0" borderId="6" xfId="0" applyNumberFormat="1" applyFont="1" applyBorder="1" applyAlignment="1">
      <alignment horizontal="right"/>
    </xf>
    <xf numFmtId="0" fontId="12" fillId="0" borderId="5" xfId="0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right"/>
    </xf>
    <xf numFmtId="0" fontId="10" fillId="0" borderId="8" xfId="0" applyFont="1" applyFill="1" applyBorder="1" applyAlignment="1"/>
    <xf numFmtId="166" fontId="0" fillId="0" borderId="9" xfId="2" applyNumberFormat="1" applyFont="1" applyBorder="1"/>
    <xf numFmtId="0" fontId="1" fillId="0" borderId="0" xfId="0" applyFont="1" applyBorder="1"/>
    <xf numFmtId="0" fontId="1" fillId="0" borderId="0" xfId="0" applyFont="1" applyFill="1" applyBorder="1"/>
    <xf numFmtId="0" fontId="7" fillId="0" borderId="0" xfId="0" applyFont="1" applyFill="1" applyAlignment="1">
      <alignment horizontal="left"/>
    </xf>
    <xf numFmtId="1" fontId="10" fillId="0" borderId="12" xfId="0" applyNumberFormat="1" applyFont="1" applyBorder="1" applyAlignment="1">
      <alignment vertical="top" wrapText="1"/>
    </xf>
    <xf numFmtId="1" fontId="12" fillId="0" borderId="12" xfId="0" applyNumberFormat="1" applyFont="1" applyBorder="1" applyAlignment="1">
      <alignment vertical="top" wrapText="1"/>
    </xf>
    <xf numFmtId="1" fontId="10" fillId="0" borderId="0" xfId="0" applyNumberFormat="1" applyFont="1" applyBorder="1" applyAlignment="1"/>
    <xf numFmtId="1" fontId="12" fillId="0" borderId="0" xfId="0" applyNumberFormat="1" applyFont="1" applyBorder="1" applyAlignment="1"/>
    <xf numFmtId="1" fontId="0" fillId="0" borderId="0" xfId="0" applyNumberFormat="1"/>
    <xf numFmtId="1" fontId="11" fillId="0" borderId="0" xfId="0" applyNumberFormat="1" applyFont="1" applyBorder="1" applyAlignment="1"/>
    <xf numFmtId="4" fontId="10" fillId="0" borderId="11" xfId="0" applyNumberFormat="1" applyFont="1" applyBorder="1" applyAlignment="1">
      <alignment wrapText="1"/>
    </xf>
    <xf numFmtId="0" fontId="0" fillId="0" borderId="2" xfId="0" applyBorder="1" applyAlignment="1"/>
    <xf numFmtId="0" fontId="12" fillId="0" borderId="6" xfId="0" applyFont="1" applyBorder="1" applyAlignment="1"/>
    <xf numFmtId="0" fontId="0" fillId="0" borderId="0" xfId="0" applyBorder="1" applyAlignment="1"/>
    <xf numFmtId="0" fontId="12" fillId="0" borderId="12" xfId="0" applyFont="1" applyBorder="1" applyAlignment="1">
      <alignment horizontal="right" vertical="top" wrapText="1"/>
    </xf>
    <xf numFmtId="2" fontId="12" fillId="0" borderId="12" xfId="0" applyNumberFormat="1" applyFont="1" applyBorder="1" applyAlignment="1">
      <alignment horizontal="right" vertical="top" wrapText="1"/>
    </xf>
    <xf numFmtId="4" fontId="0" fillId="0" borderId="7" xfId="0" applyNumberFormat="1" applyBorder="1"/>
    <xf numFmtId="4" fontId="0" fillId="0" borderId="13" xfId="0" applyNumberFormat="1" applyBorder="1"/>
    <xf numFmtId="4" fontId="12" fillId="0" borderId="12" xfId="0" applyNumberFormat="1" applyFont="1" applyBorder="1" applyAlignment="1">
      <alignment horizontal="right" vertical="top" wrapText="1"/>
    </xf>
    <xf numFmtId="9" fontId="12" fillId="0" borderId="13" xfId="0" applyNumberFormat="1" applyFont="1" applyBorder="1" applyAlignment="1">
      <alignment vertical="top" wrapText="1"/>
    </xf>
    <xf numFmtId="4" fontId="12" fillId="0" borderId="7" xfId="0" applyNumberFormat="1" applyFont="1" applyBorder="1" applyAlignment="1">
      <alignment horizontal="right" vertical="top" wrapText="1"/>
    </xf>
    <xf numFmtId="0" fontId="12" fillId="0" borderId="5" xfId="0" applyFont="1" applyBorder="1" applyAlignment="1">
      <alignment wrapText="1"/>
    </xf>
    <xf numFmtId="3" fontId="12" fillId="0" borderId="6" xfId="0" applyNumberFormat="1" applyFont="1" applyBorder="1" applyAlignment="1"/>
    <xf numFmtId="0" fontId="10" fillId="0" borderId="8" xfId="0" applyFont="1" applyBorder="1" applyAlignment="1"/>
    <xf numFmtId="3" fontId="10" fillId="0" borderId="0" xfId="0" applyNumberFormat="1" applyFont="1" applyBorder="1" applyAlignment="1">
      <alignment vertical="top" wrapText="1"/>
    </xf>
    <xf numFmtId="3" fontId="12" fillId="0" borderId="0" xfId="0" applyNumberFormat="1" applyFont="1" applyBorder="1" applyAlignment="1">
      <alignment vertical="top" wrapText="1"/>
    </xf>
    <xf numFmtId="0" fontId="10" fillId="0" borderId="14" xfId="0" applyFont="1" applyBorder="1" applyAlignment="1">
      <alignment horizontal="right"/>
    </xf>
    <xf numFmtId="0" fontId="12" fillId="0" borderId="14" xfId="0" applyFont="1" applyBorder="1" applyAlignment="1"/>
    <xf numFmtId="3" fontId="10" fillId="0" borderId="14" xfId="0" applyNumberFormat="1" applyFont="1" applyBorder="1" applyAlignment="1"/>
    <xf numFmtId="3" fontId="10" fillId="0" borderId="15" xfId="0" applyNumberFormat="1" applyFont="1" applyBorder="1" applyAlignment="1"/>
    <xf numFmtId="3" fontId="10" fillId="2" borderId="12" xfId="0" applyNumberFormat="1" applyFont="1" applyFill="1" applyBorder="1" applyAlignment="1">
      <alignment vertical="top" wrapText="1"/>
    </xf>
    <xf numFmtId="3" fontId="12" fillId="2" borderId="12" xfId="0" applyNumberFormat="1" applyFont="1" applyFill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2" fontId="12" fillId="0" borderId="0" xfId="0" applyNumberFormat="1" applyFont="1" applyBorder="1" applyAlignment="1">
      <alignment horizontal="left" vertical="top" wrapText="1"/>
    </xf>
    <xf numFmtId="1" fontId="12" fillId="0" borderId="0" xfId="0" applyNumberFormat="1" applyFont="1" applyBorder="1" applyAlignment="1">
      <alignment vertical="top" wrapText="1"/>
    </xf>
    <xf numFmtId="9" fontId="12" fillId="2" borderId="13" xfId="0" applyNumberFormat="1" applyFont="1" applyFill="1" applyBorder="1" applyAlignment="1">
      <alignment vertical="top" wrapText="1"/>
    </xf>
    <xf numFmtId="0" fontId="11" fillId="0" borderId="13" xfId="0" applyFont="1" applyBorder="1" applyAlignment="1"/>
    <xf numFmtId="4" fontId="12" fillId="0" borderId="12" xfId="0" applyNumberFormat="1" applyFont="1" applyBorder="1" applyAlignment="1">
      <alignment vertical="top" wrapText="1"/>
    </xf>
    <xf numFmtId="164" fontId="3" fillId="2" borderId="2" xfId="1" applyNumberFormat="1" applyFont="1" applyFill="1" applyBorder="1"/>
    <xf numFmtId="164" fontId="3" fillId="2" borderId="6" xfId="1" applyNumberFormat="1" applyFont="1" applyFill="1" applyBorder="1"/>
    <xf numFmtId="164" fontId="3" fillId="2" borderId="10" xfId="1" applyNumberFormat="1" applyFont="1" applyFill="1" applyBorder="1"/>
    <xf numFmtId="164" fontId="0" fillId="2" borderId="2" xfId="1" applyNumberFormat="1" applyFont="1" applyFill="1" applyBorder="1"/>
    <xf numFmtId="164" fontId="0" fillId="2" borderId="6" xfId="1" applyNumberFormat="1" applyFont="1" applyFill="1" applyBorder="1"/>
    <xf numFmtId="166" fontId="0" fillId="2" borderId="6" xfId="2" applyNumberFormat="1" applyFont="1" applyFill="1" applyBorder="1"/>
    <xf numFmtId="164" fontId="0" fillId="2" borderId="7" xfId="1" applyNumberFormat="1" applyFont="1" applyFill="1" applyBorder="1"/>
    <xf numFmtId="166" fontId="3" fillId="2" borderId="10" xfId="2" applyNumberFormat="1" applyFont="1" applyFill="1" applyBorder="1"/>
    <xf numFmtId="164" fontId="0" fillId="2" borderId="10" xfId="1" applyNumberFormat="1" applyFont="1" applyFill="1" applyBorder="1"/>
    <xf numFmtId="0" fontId="0" fillId="2" borderId="0" xfId="0" applyFill="1"/>
    <xf numFmtId="166" fontId="0" fillId="2" borderId="0" xfId="0" applyNumberFormat="1" applyFill="1"/>
    <xf numFmtId="0" fontId="18" fillId="0" borderId="0" xfId="0" applyFont="1"/>
    <xf numFmtId="0" fontId="16" fillId="0" borderId="0" xfId="0" applyFont="1"/>
    <xf numFmtId="0" fontId="17" fillId="0" borderId="0" xfId="0" applyFont="1"/>
    <xf numFmtId="0" fontId="18" fillId="0" borderId="9" xfId="0" applyFont="1" applyBorder="1"/>
    <xf numFmtId="0" fontId="18" fillId="0" borderId="0" xfId="0" applyFont="1" applyAlignment="1">
      <alignment horizontal="right"/>
    </xf>
    <xf numFmtId="3" fontId="18" fillId="0" borderId="0" xfId="0" applyNumberFormat="1" applyFont="1"/>
    <xf numFmtId="3" fontId="18" fillId="0" borderId="9" xfId="0" applyNumberFormat="1" applyFont="1" applyBorder="1"/>
    <xf numFmtId="37" fontId="18" fillId="0" borderId="0" xfId="0" applyNumberFormat="1" applyFont="1"/>
    <xf numFmtId="0" fontId="12" fillId="2" borderId="12" xfId="0" applyFont="1" applyFill="1" applyBorder="1" applyAlignment="1">
      <alignment horizontal="center" vertical="top" wrapText="1"/>
    </xf>
    <xf numFmtId="164" fontId="3" fillId="0" borderId="11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10" fillId="0" borderId="0" xfId="0" applyFont="1" applyBorder="1" applyAlignment="1">
      <alignment horizontal="right" wrapText="1"/>
    </xf>
    <xf numFmtId="0" fontId="0" fillId="0" borderId="0" xfId="0" applyBorder="1" applyAlignment="1"/>
    <xf numFmtId="0" fontId="11" fillId="0" borderId="4" xfId="0" applyFont="1" applyBorder="1" applyAlignment="1">
      <alignment vertical="top" wrapText="1"/>
    </xf>
    <xf numFmtId="0" fontId="10" fillId="0" borderId="16" xfId="0" applyFont="1" applyBorder="1" applyAlignment="1">
      <alignment horizontal="left" wrapText="1"/>
    </xf>
    <xf numFmtId="0" fontId="0" fillId="0" borderId="14" xfId="0" applyBorder="1" applyAlignment="1">
      <alignment horizontal="left"/>
    </xf>
    <xf numFmtId="0" fontId="10" fillId="0" borderId="11" xfId="0" applyFont="1" applyBorder="1" applyAlignment="1">
      <alignment horizontal="right" wrapText="1"/>
    </xf>
    <xf numFmtId="0" fontId="0" fillId="0" borderId="5" xfId="0" applyBorder="1" applyAlignment="1"/>
    <xf numFmtId="0" fontId="10" fillId="0" borderId="2" xfId="0" applyFont="1" applyBorder="1" applyAlignment="1">
      <alignment horizontal="right" wrapText="1"/>
    </xf>
    <xf numFmtId="0" fontId="0" fillId="0" borderId="6" xfId="0" applyBorder="1" applyAlignment="1"/>
    <xf numFmtId="4" fontId="10" fillId="0" borderId="11" xfId="0" applyNumberFormat="1" applyFont="1" applyBorder="1" applyAlignment="1">
      <alignment wrapText="1"/>
    </xf>
    <xf numFmtId="0" fontId="0" fillId="0" borderId="2" xfId="0" applyBorder="1" applyAlignment="1"/>
    <xf numFmtId="0" fontId="10" fillId="0" borderId="11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6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arver/FY%2014%20budget/Personnel%20Schedul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63">
          <cell r="H163">
            <v>168900.23199999999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2"/>
  <sheetViews>
    <sheetView workbookViewId="0">
      <selection activeCell="L32" sqref="L32"/>
    </sheetView>
  </sheetViews>
  <sheetFormatPr defaultRowHeight="15"/>
  <cols>
    <col min="1" max="1" width="17.28515625" customWidth="1"/>
    <col min="2" max="2" width="22.5703125" customWidth="1"/>
    <col min="3" max="11" width="11.7109375" customWidth="1"/>
    <col min="12" max="12" width="12.140625" customWidth="1"/>
    <col min="13" max="13" width="11.7109375" hidden="1" customWidth="1"/>
    <col min="14" max="14" width="1.7109375" hidden="1" customWidth="1"/>
    <col min="15" max="15" width="9.5703125" bestFit="1" customWidth="1"/>
    <col min="16" max="16" width="9.5703125" customWidth="1"/>
    <col min="17" max="17" width="9.5703125" bestFit="1" customWidth="1"/>
    <col min="18" max="18" width="11.5703125" style="100" hidden="1" customWidth="1"/>
    <col min="19" max="19" width="11.28515625" style="100" hidden="1" customWidth="1"/>
    <col min="20" max="20" width="10.5703125" hidden="1" customWidth="1"/>
    <col min="21" max="21" width="9.28515625" bestFit="1" customWidth="1"/>
    <col min="22" max="22" width="10.5703125" bestFit="1" customWidth="1"/>
  </cols>
  <sheetData>
    <row r="1" spans="1:20" s="6" customFormat="1">
      <c r="A1" s="1" t="s">
        <v>0</v>
      </c>
      <c r="B1" s="1" t="s">
        <v>1</v>
      </c>
      <c r="C1" s="170" t="s">
        <v>4</v>
      </c>
      <c r="D1" s="171"/>
      <c r="E1" s="2" t="s">
        <v>3</v>
      </c>
      <c r="F1" s="170" t="s">
        <v>5</v>
      </c>
      <c r="G1" s="172"/>
      <c r="H1" s="3" t="s">
        <v>3</v>
      </c>
      <c r="I1" s="170" t="s">
        <v>6</v>
      </c>
      <c r="J1" s="171"/>
      <c r="K1" s="4"/>
      <c r="L1" s="150" t="s">
        <v>100</v>
      </c>
      <c r="M1" s="55" t="s">
        <v>100</v>
      </c>
      <c r="N1" s="55" t="s">
        <v>100</v>
      </c>
      <c r="R1" s="104" t="s">
        <v>145</v>
      </c>
      <c r="S1" s="99" t="s">
        <v>144</v>
      </c>
    </row>
    <row r="2" spans="1:20" s="6" customFormat="1">
      <c r="A2" s="7"/>
      <c r="B2" s="70">
        <v>4265</v>
      </c>
      <c r="C2" s="8"/>
      <c r="D2" s="9"/>
      <c r="E2" s="10" t="s">
        <v>7</v>
      </c>
      <c r="F2" s="8"/>
      <c r="G2" s="9"/>
      <c r="H2" s="11" t="s">
        <v>7</v>
      </c>
      <c r="I2" s="8"/>
      <c r="J2" s="64">
        <v>41608</v>
      </c>
      <c r="K2" s="65" t="s">
        <v>8</v>
      </c>
      <c r="L2" s="151" t="s">
        <v>99</v>
      </c>
      <c r="M2" s="71" t="s">
        <v>97</v>
      </c>
      <c r="N2" s="71" t="s">
        <v>98</v>
      </c>
      <c r="R2" s="99" t="s">
        <v>137</v>
      </c>
      <c r="S2" s="99" t="s">
        <v>143</v>
      </c>
    </row>
    <row r="3" spans="1:20" s="6" customFormat="1">
      <c r="A3" s="13"/>
      <c r="B3" s="13"/>
      <c r="C3" s="14" t="s">
        <v>9</v>
      </c>
      <c r="D3" s="15" t="s">
        <v>10</v>
      </c>
      <c r="E3" s="16" t="s">
        <v>11</v>
      </c>
      <c r="F3" s="14" t="s">
        <v>9</v>
      </c>
      <c r="G3" s="15" t="s">
        <v>10</v>
      </c>
      <c r="H3" s="17" t="s">
        <v>11</v>
      </c>
      <c r="I3" s="73" t="s">
        <v>9</v>
      </c>
      <c r="J3" s="9" t="s">
        <v>12</v>
      </c>
      <c r="K3" s="65" t="s">
        <v>13</v>
      </c>
      <c r="L3" s="152" t="s">
        <v>9</v>
      </c>
      <c r="M3" s="18" t="s">
        <v>9</v>
      </c>
      <c r="N3" s="18" t="s">
        <v>9</v>
      </c>
      <c r="R3" s="99"/>
      <c r="S3" s="99" t="s">
        <v>146</v>
      </c>
    </row>
    <row r="4" spans="1:20">
      <c r="A4" s="19"/>
      <c r="B4" s="19"/>
      <c r="C4" s="20"/>
      <c r="D4" s="21"/>
      <c r="E4" s="21"/>
      <c r="F4" s="20"/>
      <c r="G4" s="21"/>
      <c r="H4" s="21"/>
      <c r="I4" s="20"/>
      <c r="J4" s="21"/>
      <c r="K4" s="63"/>
      <c r="L4" s="153"/>
      <c r="M4" s="69"/>
      <c r="N4" s="69"/>
    </row>
    <row r="5" spans="1:20" ht="15.75">
      <c r="A5" s="23">
        <v>4265</v>
      </c>
      <c r="B5" s="24" t="s">
        <v>67</v>
      </c>
      <c r="C5" s="25"/>
      <c r="D5" s="26"/>
      <c r="E5" s="26"/>
      <c r="F5" s="25"/>
      <c r="G5" s="26"/>
      <c r="H5" s="26"/>
      <c r="I5" s="25"/>
      <c r="J5" s="26"/>
      <c r="K5" s="60"/>
      <c r="L5" s="154"/>
      <c r="M5" s="56"/>
      <c r="N5" s="56"/>
    </row>
    <row r="6" spans="1:20">
      <c r="A6" s="28" t="s">
        <v>36</v>
      </c>
      <c r="B6" s="28" t="s">
        <v>14</v>
      </c>
      <c r="C6" s="29">
        <v>164577</v>
      </c>
      <c r="D6" s="30">
        <v>167770</v>
      </c>
      <c r="E6" s="32">
        <f>(D6-C6)/C6</f>
        <v>1.94012529089727E-2</v>
      </c>
      <c r="F6" s="29">
        <v>164286</v>
      </c>
      <c r="G6" s="30">
        <v>165466</v>
      </c>
      <c r="H6" s="32">
        <f>(G6-F6)/F6</f>
        <v>7.1825962041805148E-3</v>
      </c>
      <c r="I6" s="74">
        <f>[1]Sheet1!$H$163+3765</f>
        <v>172665.23199999999</v>
      </c>
      <c r="J6" s="30">
        <v>87696</v>
      </c>
      <c r="K6" s="60">
        <f>J6/I6</f>
        <v>0.50789611193989537</v>
      </c>
      <c r="L6" s="155">
        <f ca="1">'Payroll Spreadsheet no steps'!$F$14</f>
        <v>194265.66993</v>
      </c>
      <c r="M6" s="72"/>
      <c r="N6" s="72"/>
      <c r="O6" s="67"/>
      <c r="P6" s="67"/>
      <c r="R6" s="100">
        <f>100418-329</f>
        <v>100089</v>
      </c>
      <c r="S6" s="100">
        <v>139098</v>
      </c>
    </row>
    <row r="7" spans="1:20">
      <c r="A7" s="28" t="s">
        <v>37</v>
      </c>
      <c r="B7" s="28" t="s">
        <v>30</v>
      </c>
      <c r="C7" s="25">
        <v>0</v>
      </c>
      <c r="D7" s="26">
        <v>60</v>
      </c>
      <c r="E7" s="32">
        <v>1</v>
      </c>
      <c r="F7" s="25">
        <v>0</v>
      </c>
      <c r="G7" s="26">
        <v>795</v>
      </c>
      <c r="H7" s="32">
        <v>1</v>
      </c>
      <c r="I7" s="25">
        <v>0</v>
      </c>
      <c r="J7" s="26">
        <v>562</v>
      </c>
      <c r="K7" s="60">
        <v>1</v>
      </c>
      <c r="L7" s="154">
        <v>0</v>
      </c>
      <c r="M7" s="56"/>
      <c r="N7" s="56"/>
      <c r="R7" s="100">
        <v>329</v>
      </c>
      <c r="S7" s="100">
        <v>329</v>
      </c>
    </row>
    <row r="8" spans="1:20">
      <c r="A8" s="28" t="s">
        <v>42</v>
      </c>
      <c r="B8" s="28" t="s">
        <v>15</v>
      </c>
      <c r="C8" s="25">
        <v>2000</v>
      </c>
      <c r="D8" s="26">
        <v>2071</v>
      </c>
      <c r="E8" s="32">
        <f>(D8-C8)/C8</f>
        <v>3.5499999999999997E-2</v>
      </c>
      <c r="F8" s="25">
        <v>2100</v>
      </c>
      <c r="G8" s="26">
        <v>2148</v>
      </c>
      <c r="H8" s="32">
        <f>(G8-F8)/F8</f>
        <v>2.2857142857142857E-2</v>
      </c>
      <c r="I8" s="25">
        <v>2100</v>
      </c>
      <c r="J8" s="26">
        <v>760</v>
      </c>
      <c r="K8" s="60">
        <f>J8/I8</f>
        <v>0.3619047619047619</v>
      </c>
      <c r="L8" s="154">
        <v>1537</v>
      </c>
      <c r="M8" s="56"/>
      <c r="N8" s="56"/>
      <c r="R8" s="100">
        <v>760</v>
      </c>
      <c r="S8" s="100">
        <v>760</v>
      </c>
    </row>
    <row r="9" spans="1:20">
      <c r="A9" s="28" t="s">
        <v>43</v>
      </c>
      <c r="B9" s="28" t="s">
        <v>27</v>
      </c>
      <c r="C9" s="25">
        <v>400</v>
      </c>
      <c r="D9" s="26">
        <v>500</v>
      </c>
      <c r="E9" s="32">
        <f>(D9-C9)/C9</f>
        <v>0.25</v>
      </c>
      <c r="F9" s="25">
        <v>400</v>
      </c>
      <c r="G9" s="26">
        <v>369</v>
      </c>
      <c r="H9" s="32">
        <f>(G9-F9)/F9</f>
        <v>-7.7499999999999999E-2</v>
      </c>
      <c r="I9" s="25">
        <v>400</v>
      </c>
      <c r="J9" s="26">
        <v>115</v>
      </c>
      <c r="K9" s="60">
        <f>J9/I9</f>
        <v>0.28749999999999998</v>
      </c>
      <c r="L9" s="154">
        <v>450</v>
      </c>
      <c r="M9" s="56"/>
      <c r="N9" s="56"/>
      <c r="R9" s="100">
        <v>115</v>
      </c>
      <c r="S9" s="100">
        <v>115</v>
      </c>
    </row>
    <row r="10" spans="1:20">
      <c r="A10" s="28" t="s">
        <v>44</v>
      </c>
      <c r="B10" s="28" t="s">
        <v>45</v>
      </c>
      <c r="C10" s="25">
        <v>4000</v>
      </c>
      <c r="D10" s="26">
        <v>4113</v>
      </c>
      <c r="E10" s="32">
        <f t="shared" ref="E10:E15" si="0">(D10-C10)/C10</f>
        <v>2.8250000000000001E-2</v>
      </c>
      <c r="F10" s="25">
        <v>4200</v>
      </c>
      <c r="G10" s="26">
        <v>5245</v>
      </c>
      <c r="H10" s="32">
        <f t="shared" ref="H10:H15" si="1">(G10-F10)/F10</f>
        <v>0.24880952380952381</v>
      </c>
      <c r="I10" s="25">
        <v>4400</v>
      </c>
      <c r="J10" s="26">
        <v>4374</v>
      </c>
      <c r="K10" s="60">
        <f t="shared" ref="K10:K16" si="2">J10/I10</f>
        <v>0.99409090909090914</v>
      </c>
      <c r="L10" s="154">
        <v>3221</v>
      </c>
      <c r="M10" s="56"/>
      <c r="N10" s="56"/>
      <c r="Q10" s="105"/>
      <c r="R10" s="100">
        <v>4374</v>
      </c>
      <c r="S10" s="100">
        <v>4374</v>
      </c>
    </row>
    <row r="11" spans="1:20">
      <c r="A11" s="28" t="s">
        <v>46</v>
      </c>
      <c r="B11" s="28" t="s">
        <v>28</v>
      </c>
      <c r="C11" s="25">
        <v>450</v>
      </c>
      <c r="D11" s="26">
        <v>282</v>
      </c>
      <c r="E11" s="32">
        <f t="shared" si="0"/>
        <v>-0.37333333333333335</v>
      </c>
      <c r="F11" s="25">
        <v>450</v>
      </c>
      <c r="G11" s="26">
        <v>450</v>
      </c>
      <c r="H11" s="32">
        <f t="shared" si="1"/>
        <v>0</v>
      </c>
      <c r="I11" s="25">
        <v>460</v>
      </c>
      <c r="J11" s="26">
        <v>259</v>
      </c>
      <c r="K11" s="60">
        <f t="shared" si="2"/>
        <v>0.56304347826086953</v>
      </c>
      <c r="L11" s="154">
        <v>490</v>
      </c>
      <c r="M11" s="56"/>
      <c r="N11" s="56"/>
      <c r="R11" s="100">
        <v>309</v>
      </c>
      <c r="S11" s="100">
        <v>405</v>
      </c>
    </row>
    <row r="12" spans="1:20">
      <c r="A12" s="28" t="s">
        <v>47</v>
      </c>
      <c r="B12" s="28" t="s">
        <v>16</v>
      </c>
      <c r="C12" s="25">
        <v>2000</v>
      </c>
      <c r="D12" s="26">
        <v>3131</v>
      </c>
      <c r="E12" s="32">
        <f t="shared" si="0"/>
        <v>0.5655</v>
      </c>
      <c r="F12" s="25">
        <v>3300</v>
      </c>
      <c r="G12" s="26">
        <v>3872</v>
      </c>
      <c r="H12" s="32">
        <f t="shared" si="1"/>
        <v>0.17333333333333334</v>
      </c>
      <c r="I12" s="25">
        <v>3450</v>
      </c>
      <c r="J12" s="26">
        <v>1735</v>
      </c>
      <c r="K12" s="60">
        <f t="shared" si="2"/>
        <v>0.50289855072463763</v>
      </c>
      <c r="L12" s="154">
        <v>2744</v>
      </c>
      <c r="M12" s="56"/>
      <c r="N12" s="56"/>
      <c r="R12" s="100">
        <v>2117</v>
      </c>
      <c r="S12" s="100">
        <v>2117</v>
      </c>
    </row>
    <row r="13" spans="1:20">
      <c r="A13" s="28" t="s">
        <v>48</v>
      </c>
      <c r="B13" s="28" t="s">
        <v>24</v>
      </c>
      <c r="C13" s="25">
        <v>550</v>
      </c>
      <c r="D13" s="26">
        <v>583</v>
      </c>
      <c r="E13" s="32">
        <f t="shared" si="0"/>
        <v>0.06</v>
      </c>
      <c r="F13" s="25">
        <v>650</v>
      </c>
      <c r="G13" s="26">
        <v>639</v>
      </c>
      <c r="H13" s="32">
        <f t="shared" si="1"/>
        <v>-1.6923076923076923E-2</v>
      </c>
      <c r="I13" s="25">
        <v>650</v>
      </c>
      <c r="J13" s="26">
        <v>419</v>
      </c>
      <c r="K13" s="60">
        <f t="shared" si="2"/>
        <v>0.64461538461538459</v>
      </c>
      <c r="L13" s="154">
        <v>650</v>
      </c>
      <c r="M13" s="56"/>
      <c r="N13" s="56"/>
      <c r="R13" s="100">
        <v>508</v>
      </c>
      <c r="S13" s="100">
        <v>672</v>
      </c>
    </row>
    <row r="14" spans="1:20">
      <c r="A14" s="28" t="s">
        <v>49</v>
      </c>
      <c r="B14" s="28" t="s">
        <v>31</v>
      </c>
      <c r="C14" s="25">
        <v>450</v>
      </c>
      <c r="D14" s="26">
        <v>410</v>
      </c>
      <c r="E14" s="32">
        <f t="shared" si="0"/>
        <v>-8.8888888888888892E-2</v>
      </c>
      <c r="F14" s="25">
        <v>450</v>
      </c>
      <c r="G14" s="26">
        <v>201</v>
      </c>
      <c r="H14" s="32">
        <f t="shared" si="1"/>
        <v>-0.55333333333333334</v>
      </c>
      <c r="I14" s="25">
        <v>450</v>
      </c>
      <c r="J14" s="26">
        <v>0</v>
      </c>
      <c r="K14" s="60">
        <f t="shared" si="2"/>
        <v>0</v>
      </c>
      <c r="L14" s="154">
        <v>450</v>
      </c>
      <c r="M14" s="56"/>
      <c r="N14" s="56"/>
      <c r="R14" s="100">
        <v>0</v>
      </c>
      <c r="S14" s="100">
        <v>0</v>
      </c>
      <c r="T14" t="s">
        <v>153</v>
      </c>
    </row>
    <row r="15" spans="1:20">
      <c r="A15" s="28" t="s">
        <v>50</v>
      </c>
      <c r="B15" s="28" t="s">
        <v>51</v>
      </c>
      <c r="C15" s="25">
        <v>500</v>
      </c>
      <c r="D15" s="26">
        <v>542</v>
      </c>
      <c r="E15" s="32">
        <f t="shared" si="0"/>
        <v>8.4000000000000005E-2</v>
      </c>
      <c r="F15" s="25">
        <v>750</v>
      </c>
      <c r="G15" s="26">
        <v>745</v>
      </c>
      <c r="H15" s="32">
        <f t="shared" si="1"/>
        <v>-6.6666666666666671E-3</v>
      </c>
      <c r="I15" s="25">
        <v>750</v>
      </c>
      <c r="J15" s="26">
        <v>288</v>
      </c>
      <c r="K15" s="60">
        <f t="shared" si="2"/>
        <v>0.38400000000000001</v>
      </c>
      <c r="L15" s="154">
        <v>740</v>
      </c>
      <c r="M15" s="56"/>
      <c r="N15" s="56"/>
      <c r="R15" s="100">
        <v>328</v>
      </c>
      <c r="S15" s="100">
        <v>328</v>
      </c>
    </row>
    <row r="16" spans="1:20">
      <c r="A16" s="28" t="s">
        <v>104</v>
      </c>
      <c r="B16" s="68" t="s">
        <v>96</v>
      </c>
      <c r="C16" s="62"/>
      <c r="D16" s="48"/>
      <c r="F16" s="62"/>
      <c r="G16" s="48"/>
      <c r="H16" s="48"/>
      <c r="I16" s="25">
        <v>1055</v>
      </c>
      <c r="J16" s="76">
        <v>719</v>
      </c>
      <c r="K16" s="60">
        <f t="shared" si="2"/>
        <v>0.68151658767772516</v>
      </c>
      <c r="L16" s="154">
        <v>1055</v>
      </c>
      <c r="M16" s="56"/>
      <c r="N16" s="56"/>
      <c r="R16" s="100">
        <v>719</v>
      </c>
    </row>
    <row r="17" spans="1:24">
      <c r="A17" s="28" t="s">
        <v>52</v>
      </c>
      <c r="B17" s="28" t="s">
        <v>33</v>
      </c>
      <c r="C17" s="25">
        <v>0</v>
      </c>
      <c r="D17" s="26">
        <v>1222</v>
      </c>
      <c r="E17" s="32">
        <v>1</v>
      </c>
      <c r="F17" s="25">
        <v>0</v>
      </c>
      <c r="G17" s="26">
        <v>1009</v>
      </c>
      <c r="H17" s="32">
        <v>1</v>
      </c>
      <c r="I17" s="25">
        <v>0</v>
      </c>
      <c r="J17" s="26">
        <v>0</v>
      </c>
      <c r="K17" s="60"/>
      <c r="L17" s="154">
        <v>0</v>
      </c>
      <c r="M17" s="56"/>
      <c r="N17" s="56"/>
    </row>
    <row r="18" spans="1:24">
      <c r="A18" s="28" t="s">
        <v>53</v>
      </c>
      <c r="B18" s="28" t="s">
        <v>34</v>
      </c>
      <c r="C18" s="25">
        <v>250</v>
      </c>
      <c r="D18" s="26">
        <v>114</v>
      </c>
      <c r="E18" s="32">
        <f t="shared" ref="E18:E24" si="3">(D18-C18)/C18</f>
        <v>-0.54400000000000004</v>
      </c>
      <c r="F18" s="25">
        <v>150</v>
      </c>
      <c r="G18" s="26">
        <v>169</v>
      </c>
      <c r="H18" s="32">
        <f t="shared" ref="H18:H24" si="4">(G18-F18)/F18</f>
        <v>0.12666666666666668</v>
      </c>
      <c r="I18" s="25">
        <v>200</v>
      </c>
      <c r="J18" s="26">
        <v>158</v>
      </c>
      <c r="K18" s="60">
        <f t="shared" ref="K18:K24" si="5">J18/I18</f>
        <v>0.79</v>
      </c>
      <c r="L18" s="154">
        <v>1955</v>
      </c>
      <c r="M18" s="56"/>
      <c r="N18" s="56"/>
      <c r="Q18" s="103"/>
      <c r="R18" s="100">
        <v>158</v>
      </c>
      <c r="S18" s="100">
        <v>645</v>
      </c>
    </row>
    <row r="19" spans="1:24">
      <c r="A19" s="28" t="s">
        <v>55</v>
      </c>
      <c r="B19" s="28" t="s">
        <v>54</v>
      </c>
      <c r="C19" s="25">
        <v>350</v>
      </c>
      <c r="D19" s="26">
        <v>160</v>
      </c>
      <c r="E19" s="32">
        <f t="shared" si="3"/>
        <v>-0.54285714285714282</v>
      </c>
      <c r="F19" s="25">
        <v>350</v>
      </c>
      <c r="G19" s="26">
        <v>355</v>
      </c>
      <c r="H19" s="32">
        <f t="shared" si="4"/>
        <v>1.4285714285714285E-2</v>
      </c>
      <c r="I19" s="25">
        <v>350</v>
      </c>
      <c r="J19" s="26">
        <v>346</v>
      </c>
      <c r="K19" s="60">
        <f t="shared" si="5"/>
        <v>0.98857142857142855</v>
      </c>
      <c r="L19" s="154">
        <v>1350</v>
      </c>
      <c r="M19" s="56"/>
      <c r="N19" s="56"/>
      <c r="R19" s="100">
        <v>346</v>
      </c>
      <c r="S19" s="100">
        <v>977</v>
      </c>
      <c r="X19" s="34"/>
    </row>
    <row r="20" spans="1:24">
      <c r="A20" s="28" t="s">
        <v>57</v>
      </c>
      <c r="B20" s="28" t="s">
        <v>56</v>
      </c>
      <c r="C20" s="25">
        <v>300</v>
      </c>
      <c r="D20" s="26">
        <v>74</v>
      </c>
      <c r="E20" s="32">
        <f t="shared" si="3"/>
        <v>-0.7533333333333333</v>
      </c>
      <c r="F20" s="25">
        <v>300</v>
      </c>
      <c r="G20" s="26">
        <v>218</v>
      </c>
      <c r="H20" s="32">
        <f t="shared" si="4"/>
        <v>-0.27333333333333332</v>
      </c>
      <c r="I20" s="25">
        <v>300</v>
      </c>
      <c r="J20" s="26">
        <v>79</v>
      </c>
      <c r="K20" s="60">
        <f t="shared" si="5"/>
        <v>0.26333333333333331</v>
      </c>
      <c r="L20" s="154">
        <v>300</v>
      </c>
      <c r="M20" s="56"/>
      <c r="N20" s="56"/>
      <c r="R20" s="100">
        <v>79</v>
      </c>
      <c r="S20" s="100">
        <v>79</v>
      </c>
      <c r="X20" s="34"/>
    </row>
    <row r="21" spans="1:24">
      <c r="A21" s="28" t="s">
        <v>59</v>
      </c>
      <c r="B21" s="28" t="s">
        <v>58</v>
      </c>
      <c r="C21" s="25">
        <v>500</v>
      </c>
      <c r="D21" s="26">
        <v>1178</v>
      </c>
      <c r="E21" s="32">
        <f t="shared" si="3"/>
        <v>1.3560000000000001</v>
      </c>
      <c r="F21" s="25">
        <v>750</v>
      </c>
      <c r="G21" s="26">
        <v>913</v>
      </c>
      <c r="H21" s="32">
        <f t="shared" si="4"/>
        <v>0.21733333333333332</v>
      </c>
      <c r="I21" s="25">
        <v>1150</v>
      </c>
      <c r="J21" s="26">
        <v>0</v>
      </c>
      <c r="K21" s="60">
        <f t="shared" si="5"/>
        <v>0</v>
      </c>
      <c r="L21" s="154">
        <v>1150</v>
      </c>
      <c r="M21" s="56"/>
      <c r="N21" s="56"/>
      <c r="X21" s="34"/>
    </row>
    <row r="22" spans="1:24">
      <c r="A22" s="28" t="s">
        <v>61</v>
      </c>
      <c r="B22" s="28" t="s">
        <v>60</v>
      </c>
      <c r="C22" s="25">
        <v>500</v>
      </c>
      <c r="D22" s="26">
        <v>569</v>
      </c>
      <c r="E22" s="32">
        <f t="shared" si="3"/>
        <v>0.13800000000000001</v>
      </c>
      <c r="F22" s="25">
        <v>750</v>
      </c>
      <c r="G22" s="26">
        <v>420</v>
      </c>
      <c r="H22" s="32">
        <f t="shared" si="4"/>
        <v>-0.44</v>
      </c>
      <c r="I22" s="25">
        <v>750</v>
      </c>
      <c r="J22" s="26">
        <v>256</v>
      </c>
      <c r="K22" s="60">
        <f t="shared" si="5"/>
        <v>0.34133333333333332</v>
      </c>
      <c r="L22" s="154">
        <v>750</v>
      </c>
      <c r="M22" s="56"/>
      <c r="N22" s="56"/>
      <c r="R22" s="100">
        <v>264</v>
      </c>
      <c r="S22" s="100">
        <v>325</v>
      </c>
      <c r="X22" s="34"/>
    </row>
    <row r="23" spans="1:24">
      <c r="A23" s="28" t="s">
        <v>63</v>
      </c>
      <c r="B23" s="28" t="s">
        <v>62</v>
      </c>
      <c r="C23" s="25">
        <v>300</v>
      </c>
      <c r="D23" s="26">
        <v>272</v>
      </c>
      <c r="E23" s="32">
        <f t="shared" si="3"/>
        <v>-9.3333333333333338E-2</v>
      </c>
      <c r="F23" s="25">
        <v>500</v>
      </c>
      <c r="G23" s="26">
        <v>1845</v>
      </c>
      <c r="H23" s="32">
        <f t="shared" si="4"/>
        <v>2.69</v>
      </c>
      <c r="I23" s="25">
        <v>750</v>
      </c>
      <c r="J23" s="26">
        <v>0</v>
      </c>
      <c r="K23" s="60">
        <f t="shared" si="5"/>
        <v>0</v>
      </c>
      <c r="L23" s="154">
        <v>750</v>
      </c>
      <c r="M23" s="56"/>
      <c r="N23" s="56"/>
      <c r="S23" s="100">
        <v>138</v>
      </c>
      <c r="X23" s="34"/>
    </row>
    <row r="24" spans="1:24">
      <c r="A24" s="28" t="s">
        <v>64</v>
      </c>
      <c r="B24" s="28" t="s">
        <v>17</v>
      </c>
      <c r="C24" s="35">
        <v>230</v>
      </c>
      <c r="D24" s="36">
        <v>237</v>
      </c>
      <c r="E24" s="38">
        <f t="shared" si="3"/>
        <v>3.0434782608695653E-2</v>
      </c>
      <c r="F24" s="35">
        <v>240</v>
      </c>
      <c r="G24" s="36">
        <v>237</v>
      </c>
      <c r="H24" s="38">
        <f t="shared" si="4"/>
        <v>-1.2500000000000001E-2</v>
      </c>
      <c r="I24" s="35">
        <v>320</v>
      </c>
      <c r="J24" s="36">
        <v>317</v>
      </c>
      <c r="K24" s="61">
        <f t="shared" si="5"/>
        <v>0.99062499999999998</v>
      </c>
      <c r="L24" s="156">
        <v>320</v>
      </c>
      <c r="M24" s="56"/>
      <c r="N24" s="56"/>
      <c r="R24" s="100">
        <v>317</v>
      </c>
      <c r="X24" s="34"/>
    </row>
    <row r="25" spans="1:24" s="6" customFormat="1" ht="21.95" hidden="1" customHeight="1">
      <c r="A25" s="54" t="s">
        <v>35</v>
      </c>
      <c r="B25" s="13" t="s">
        <v>95</v>
      </c>
      <c r="C25" s="40">
        <f>SUM(C6:C24)</f>
        <v>177357</v>
      </c>
      <c r="D25" s="41">
        <f>SUM(D6:D24)</f>
        <v>183288</v>
      </c>
      <c r="E25" s="42">
        <f>(D25-C25)/C25</f>
        <v>3.3441025727769413E-2</v>
      </c>
      <c r="F25" s="40">
        <f>SUM(F6:F24)</f>
        <v>179626</v>
      </c>
      <c r="G25" s="41">
        <f>SUM(G6:G24)</f>
        <v>185096</v>
      </c>
      <c r="H25" s="43">
        <f>(G25-F25)/F25</f>
        <v>3.0452161713783083E-2</v>
      </c>
      <c r="I25" s="40">
        <f>SUM(I6:I24)</f>
        <v>190200.23199999999</v>
      </c>
      <c r="J25" s="41">
        <f>SUM(J6:J24)</f>
        <v>98083</v>
      </c>
      <c r="K25" s="66">
        <f>J25/I25</f>
        <v>0.51568286204824398</v>
      </c>
      <c r="L25" s="157">
        <f>SUM(L6:L24)</f>
        <v>212177.66993</v>
      </c>
      <c r="M25" s="44">
        <f>SUM(M6:M24)</f>
        <v>0</v>
      </c>
      <c r="N25" s="44">
        <f>SUM(N6:N24)</f>
        <v>0</v>
      </c>
      <c r="O25" s="34"/>
      <c r="P25" s="34"/>
      <c r="Q25" s="34"/>
      <c r="R25" s="100"/>
      <c r="S25" s="100"/>
      <c r="T25" s="34"/>
    </row>
    <row r="26" spans="1:24" s="6" customFormat="1" ht="21.95" hidden="1" customHeight="1">
      <c r="A26" s="45" t="s">
        <v>38</v>
      </c>
      <c r="B26" s="46" t="s">
        <v>19</v>
      </c>
      <c r="C26" s="25">
        <v>11302</v>
      </c>
      <c r="D26" s="26">
        <v>9998</v>
      </c>
      <c r="E26" s="31"/>
      <c r="F26" s="25">
        <v>12590</v>
      </c>
      <c r="G26" s="26">
        <v>12680</v>
      </c>
      <c r="H26" s="32"/>
      <c r="I26" s="25"/>
      <c r="J26" s="26"/>
      <c r="K26" s="27"/>
      <c r="L26" s="154"/>
      <c r="O26" s="34"/>
      <c r="P26" s="34"/>
      <c r="Q26" s="34"/>
      <c r="R26" s="100"/>
      <c r="S26" s="100"/>
      <c r="T26" s="34"/>
    </row>
    <row r="27" spans="1:24" s="6" customFormat="1" ht="21.95" hidden="1" customHeight="1">
      <c r="A27" s="45" t="s">
        <v>39</v>
      </c>
      <c r="B27" s="28" t="s">
        <v>20</v>
      </c>
      <c r="C27" s="25">
        <v>551</v>
      </c>
      <c r="D27" s="26">
        <v>551</v>
      </c>
      <c r="E27" s="31"/>
      <c r="F27" s="25">
        <v>551</v>
      </c>
      <c r="G27" s="26">
        <v>551</v>
      </c>
      <c r="H27" s="32"/>
      <c r="I27" s="25"/>
      <c r="J27" s="26"/>
      <c r="K27" s="27"/>
      <c r="L27" s="154"/>
      <c r="O27" s="34"/>
      <c r="P27" s="34"/>
      <c r="Q27" s="34"/>
      <c r="R27" s="100"/>
      <c r="S27" s="100"/>
      <c r="T27" s="34"/>
    </row>
    <row r="28" spans="1:24" s="6" customFormat="1" ht="21.95" hidden="1" customHeight="1">
      <c r="A28" s="47" t="s">
        <v>40</v>
      </c>
      <c r="B28" s="48" t="s">
        <v>21</v>
      </c>
      <c r="C28" s="25"/>
      <c r="D28" s="26"/>
      <c r="E28" s="31"/>
      <c r="F28" s="25">
        <v>25834</v>
      </c>
      <c r="G28" s="26"/>
      <c r="H28" s="32"/>
      <c r="I28" s="25"/>
      <c r="J28" s="26"/>
      <c r="K28" s="27"/>
      <c r="L28" s="154"/>
      <c r="O28" s="34"/>
      <c r="P28" s="34"/>
      <c r="Q28" s="34"/>
      <c r="R28" s="100"/>
      <c r="S28" s="100"/>
      <c r="T28"/>
    </row>
    <row r="29" spans="1:24" ht="21.95" hidden="1" customHeight="1">
      <c r="A29" s="47" t="s">
        <v>41</v>
      </c>
      <c r="B29" s="48" t="s">
        <v>22</v>
      </c>
      <c r="C29" s="35">
        <v>6150</v>
      </c>
      <c r="D29" s="36">
        <v>6150</v>
      </c>
      <c r="E29" s="37"/>
      <c r="F29" s="35">
        <v>6773</v>
      </c>
      <c r="G29" s="36">
        <v>6773</v>
      </c>
      <c r="H29" s="38"/>
      <c r="I29" s="35"/>
      <c r="J29" s="36"/>
      <c r="K29" s="39"/>
      <c r="L29" s="158"/>
      <c r="O29" s="34"/>
      <c r="P29" s="34"/>
      <c r="Q29" s="34"/>
    </row>
    <row r="30" spans="1:24" ht="21.95" hidden="1" customHeight="1">
      <c r="A30" s="28"/>
      <c r="B30" s="28" t="s">
        <v>23</v>
      </c>
      <c r="C30" s="29">
        <f>SUM(C25:C29)</f>
        <v>195360</v>
      </c>
      <c r="D30" s="30">
        <f>SUM(D25:D29)</f>
        <v>199987</v>
      </c>
      <c r="E30" s="31"/>
      <c r="F30" s="29">
        <f>SUM(F25:F29)</f>
        <v>225374</v>
      </c>
      <c r="G30" s="30">
        <f>SUM(G25:G29)</f>
        <v>205100</v>
      </c>
      <c r="H30" s="32"/>
      <c r="I30" s="29"/>
      <c r="J30" s="26"/>
      <c r="K30" s="27"/>
      <c r="L30" s="154"/>
      <c r="O30" s="34"/>
      <c r="P30" s="34"/>
      <c r="Q30" s="34"/>
      <c r="S30" s="101"/>
      <c r="T30" s="34"/>
    </row>
    <row r="31" spans="1:24" ht="21.95" hidden="1" customHeight="1">
      <c r="L31" s="159"/>
      <c r="O31" s="34"/>
      <c r="P31" s="34"/>
      <c r="Q31" s="34"/>
      <c r="R31" s="101"/>
      <c r="S31" s="101"/>
      <c r="T31" s="34"/>
      <c r="U31" s="34"/>
      <c r="V31" s="34"/>
      <c r="W31" s="34"/>
    </row>
    <row r="32" spans="1:24">
      <c r="B32" s="49" t="s">
        <v>17</v>
      </c>
      <c r="C32" s="50"/>
      <c r="D32" s="75" t="s">
        <v>101</v>
      </c>
      <c r="E32" s="51"/>
      <c r="F32" s="50"/>
      <c r="G32" s="75" t="s">
        <v>102</v>
      </c>
      <c r="H32" s="50"/>
      <c r="I32" s="50">
        <f>SUM(I6:I24)</f>
        <v>190200.23199999999</v>
      </c>
      <c r="J32" s="50"/>
      <c r="K32" s="50"/>
      <c r="L32" s="160">
        <f>SUM(L6:L24)</f>
        <v>212177.66993</v>
      </c>
      <c r="O32" s="114" t="s">
        <v>103</v>
      </c>
      <c r="P32" s="75"/>
      <c r="Q32" s="34"/>
      <c r="S32" s="101"/>
      <c r="T32" s="34"/>
      <c r="W32" s="34"/>
    </row>
    <row r="33" spans="2:23">
      <c r="B33" s="52" t="s">
        <v>65</v>
      </c>
      <c r="C33" s="50"/>
      <c r="D33" s="30">
        <v>237</v>
      </c>
      <c r="E33" s="30"/>
      <c r="F33" s="30"/>
      <c r="G33" s="30">
        <v>237</v>
      </c>
      <c r="I33" t="s">
        <v>66</v>
      </c>
      <c r="O33" s="34"/>
      <c r="P33" s="34"/>
      <c r="Q33" s="34"/>
      <c r="R33" s="100">
        <f>SUM(R6:R24)</f>
        <v>110812</v>
      </c>
      <c r="S33" s="100">
        <f>SUM(S6:S24)</f>
        <v>150362</v>
      </c>
      <c r="T33" s="34"/>
      <c r="W33" s="34"/>
    </row>
    <row r="34" spans="2:23" ht="17.25">
      <c r="B34" s="52"/>
      <c r="C34" s="50"/>
      <c r="D34" s="58"/>
      <c r="E34" s="30"/>
      <c r="F34" s="30"/>
      <c r="G34" s="58"/>
      <c r="O34" s="34"/>
      <c r="P34" s="34"/>
      <c r="S34" s="101"/>
    </row>
    <row r="35" spans="2:23">
      <c r="B35" s="52"/>
      <c r="C35" s="36" t="s">
        <v>154</v>
      </c>
      <c r="D35" s="111"/>
      <c r="E35" s="50"/>
      <c r="F35" s="50"/>
      <c r="G35" s="30"/>
      <c r="O35" s="34"/>
    </row>
    <row r="36" spans="2:23">
      <c r="B36" s="113" t="s">
        <v>158</v>
      </c>
      <c r="C36" t="s">
        <v>235</v>
      </c>
      <c r="R36" s="103" t="s">
        <v>138</v>
      </c>
      <c r="S36" s="100">
        <v>0</v>
      </c>
      <c r="T36" s="101">
        <v>27247</v>
      </c>
    </row>
    <row r="37" spans="2:23">
      <c r="B37" s="113" t="s">
        <v>45</v>
      </c>
      <c r="C37" t="s">
        <v>236</v>
      </c>
      <c r="R37" s="103" t="s">
        <v>139</v>
      </c>
      <c r="S37" s="100">
        <v>0</v>
      </c>
      <c r="T37" s="101">
        <v>360</v>
      </c>
    </row>
    <row r="38" spans="2:23">
      <c r="B38" s="112" t="s">
        <v>157</v>
      </c>
      <c r="C38" t="s">
        <v>160</v>
      </c>
      <c r="D38" s="50"/>
      <c r="E38" s="50"/>
      <c r="F38" s="50"/>
      <c r="G38" s="50"/>
      <c r="O38" s="34"/>
      <c r="R38" t="s">
        <v>140</v>
      </c>
      <c r="T38" s="100">
        <v>2628</v>
      </c>
    </row>
    <row r="39" spans="2:23">
      <c r="O39" s="34"/>
      <c r="R39" t="s">
        <v>141</v>
      </c>
      <c r="S39" s="101">
        <f>100089*0.0765</f>
        <v>7656.8085000000001</v>
      </c>
      <c r="T39" s="100">
        <f>S39+2959</f>
        <v>10615.808499999999</v>
      </c>
    </row>
    <row r="40" spans="2:23">
      <c r="B40" t="s">
        <v>28</v>
      </c>
      <c r="C40" t="s">
        <v>161</v>
      </c>
      <c r="O40" s="34"/>
      <c r="R40"/>
      <c r="S40" s="101"/>
      <c r="T40" s="100"/>
    </row>
    <row r="41" spans="2:23">
      <c r="B41" t="s">
        <v>51</v>
      </c>
      <c r="C41" t="s">
        <v>237</v>
      </c>
      <c r="O41" s="34"/>
      <c r="P41" s="34"/>
      <c r="R41" t="s">
        <v>142</v>
      </c>
      <c r="S41" s="101"/>
      <c r="T41" s="100">
        <v>189985</v>
      </c>
    </row>
    <row r="42" spans="2:23">
      <c r="B42" t="s">
        <v>155</v>
      </c>
      <c r="C42" t="s">
        <v>151</v>
      </c>
      <c r="R42" s="102"/>
      <c r="S42" s="102"/>
      <c r="T42" s="50"/>
    </row>
    <row r="43" spans="2:23">
      <c r="B43" t="s">
        <v>156</v>
      </c>
      <c r="C43" t="s">
        <v>152</v>
      </c>
    </row>
    <row r="45" spans="2:23">
      <c r="B45" t="s">
        <v>162</v>
      </c>
      <c r="C45" t="s">
        <v>163</v>
      </c>
      <c r="Q45" s="34"/>
    </row>
    <row r="46" spans="2:23">
      <c r="Q46" s="34"/>
    </row>
    <row r="49" spans="15:25">
      <c r="Q49" s="34"/>
    </row>
    <row r="50" spans="15:25">
      <c r="Q50" s="34"/>
    </row>
    <row r="51" spans="15:25">
      <c r="O51" s="50"/>
      <c r="P51" s="50"/>
      <c r="Q51" s="50"/>
      <c r="U51" s="50"/>
      <c r="V51" s="50"/>
      <c r="W51" s="50"/>
      <c r="X51" s="50"/>
      <c r="Y51" s="50"/>
    </row>
    <row r="52" spans="15:25">
      <c r="Y52" s="53"/>
    </row>
  </sheetData>
  <mergeCells count="3">
    <mergeCell ref="C1:D1"/>
    <mergeCell ref="F1:G1"/>
    <mergeCell ref="I1:J1"/>
  </mergeCells>
  <phoneticPr fontId="8" type="noConversion"/>
  <printOptions gridLines="1"/>
  <pageMargins left="0.3" right="0.3" top="0.75" bottom="0.75" header="0.3" footer="0.3"/>
  <pageSetup scale="75" fitToHeight="0" orientation="landscape" r:id="rId1"/>
  <headerFooter>
    <oddFooter>&amp;L&amp;D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55"/>
  <sheetViews>
    <sheetView topLeftCell="G23" workbookViewId="0">
      <selection activeCell="U2" sqref="U2:U7"/>
    </sheetView>
  </sheetViews>
  <sheetFormatPr defaultRowHeight="15"/>
  <cols>
    <col min="1" max="1" width="19.7109375" style="79" customWidth="1"/>
    <col min="2" max="2" width="16" style="79" customWidth="1"/>
    <col min="3" max="3" width="13.5703125" style="79" customWidth="1"/>
    <col min="5" max="6" width="11.5703125" style="93" customWidth="1"/>
    <col min="7" max="7" width="11.5703125" style="120" customWidth="1"/>
    <col min="8" max="8" width="12.5703125" style="93" hidden="1" customWidth="1"/>
    <col min="9" max="9" width="14.85546875" style="93" hidden="1" customWidth="1"/>
    <col min="10" max="10" width="11.5703125" style="120" customWidth="1"/>
    <col min="11" max="11" width="13.85546875" style="79" customWidth="1"/>
    <col min="12" max="12" width="7.42578125" style="79" bestFit="1" customWidth="1"/>
    <col min="13" max="13" width="17" style="79" customWidth="1"/>
    <col min="14" max="14" width="12.42578125" style="93" customWidth="1"/>
    <col min="15" max="15" width="10.7109375" style="87" customWidth="1"/>
    <col min="16" max="17" width="9.140625" style="79"/>
    <col min="18" max="18" width="10.7109375" style="93" customWidth="1"/>
    <col min="19" max="20" width="9.140625" style="79"/>
    <col min="23" max="16384" width="9.140625" style="79"/>
  </cols>
  <sheetData>
    <row r="1" spans="1:21" ht="66" customHeight="1">
      <c r="A1" s="77" t="s">
        <v>124</v>
      </c>
      <c r="B1" s="78" t="s">
        <v>201</v>
      </c>
      <c r="C1" s="78" t="s">
        <v>122</v>
      </c>
      <c r="D1" s="78" t="s">
        <v>194</v>
      </c>
      <c r="E1" s="89" t="s">
        <v>208</v>
      </c>
      <c r="F1" s="141" t="s">
        <v>209</v>
      </c>
      <c r="G1" s="115" t="s">
        <v>164</v>
      </c>
      <c r="H1" s="89" t="s">
        <v>133</v>
      </c>
      <c r="I1" s="89" t="s">
        <v>134</v>
      </c>
      <c r="J1" s="115" t="s">
        <v>165</v>
      </c>
      <c r="K1" s="135"/>
      <c r="M1" s="77" t="s">
        <v>124</v>
      </c>
      <c r="N1" s="89" t="s">
        <v>248</v>
      </c>
      <c r="O1" s="141" t="s">
        <v>249</v>
      </c>
      <c r="P1" s="141" t="s">
        <v>214</v>
      </c>
      <c r="Q1" s="141" t="s">
        <v>216</v>
      </c>
      <c r="R1" s="89" t="s">
        <v>212</v>
      </c>
      <c r="S1" s="141" t="s">
        <v>246</v>
      </c>
      <c r="T1" s="141" t="s">
        <v>247</v>
      </c>
    </row>
    <row r="2" spans="1:21" ht="25.5">
      <c r="A2" s="80" t="s">
        <v>195</v>
      </c>
      <c r="B2" s="81">
        <v>40</v>
      </c>
      <c r="C2" s="125">
        <v>35.56</v>
      </c>
      <c r="D2" s="129">
        <f t="shared" ref="D2:D8" si="0">C2*1.0175</f>
        <v>36.182300000000005</v>
      </c>
      <c r="E2" s="90">
        <v>75254</v>
      </c>
      <c r="F2" s="142">
        <v>75254</v>
      </c>
      <c r="G2" s="116">
        <v>0</v>
      </c>
      <c r="H2" s="90">
        <f>E2*0.0625</f>
        <v>4703.375</v>
      </c>
      <c r="I2" s="90">
        <f t="shared" ref="I2:I9" si="1">E2*0.0765</f>
        <v>5756.9309999999996</v>
      </c>
      <c r="J2" s="116">
        <v>0</v>
      </c>
      <c r="K2" s="136"/>
      <c r="M2" s="80" t="s">
        <v>105</v>
      </c>
      <c r="N2" s="90">
        <f t="shared" ref="N2:N13" si="2">E2*0.0765</f>
        <v>5756.9309999999996</v>
      </c>
      <c r="O2" s="142">
        <f t="shared" ref="O2:O13" si="3">F2*0.0765</f>
        <v>5756.9309999999996</v>
      </c>
      <c r="P2" s="142">
        <v>30855</v>
      </c>
      <c r="Q2" s="142">
        <v>477</v>
      </c>
      <c r="R2" s="90">
        <f t="shared" ref="R2:S5" si="4">E2*0.065</f>
        <v>4891.51</v>
      </c>
      <c r="S2" s="142">
        <f t="shared" si="4"/>
        <v>4891.51</v>
      </c>
      <c r="T2" s="142">
        <f t="shared" ref="T2:T13" si="5">O2+P2+Q2+S2</f>
        <v>41980.440999999999</v>
      </c>
      <c r="U2" s="175" t="s">
        <v>252</v>
      </c>
    </row>
    <row r="3" spans="1:21" ht="34.5" customHeight="1">
      <c r="A3" s="80" t="s">
        <v>196</v>
      </c>
      <c r="B3" s="81">
        <v>37.5</v>
      </c>
      <c r="C3" s="125">
        <v>25.34</v>
      </c>
      <c r="D3" s="129">
        <f t="shared" si="0"/>
        <v>25.783450000000002</v>
      </c>
      <c r="E3" s="90">
        <f>(B3*D3)*52</f>
        <v>50277.727500000008</v>
      </c>
      <c r="F3" s="142">
        <v>50278</v>
      </c>
      <c r="G3" s="116">
        <v>0</v>
      </c>
      <c r="H3" s="90">
        <f>E3*0.0625</f>
        <v>3142.3579687500005</v>
      </c>
      <c r="I3" s="90">
        <f t="shared" si="1"/>
        <v>3846.2461537500008</v>
      </c>
      <c r="J3" s="116">
        <v>0</v>
      </c>
      <c r="K3" s="136"/>
      <c r="M3" s="80" t="s">
        <v>106</v>
      </c>
      <c r="N3" s="90">
        <f t="shared" si="2"/>
        <v>3846.2461537500008</v>
      </c>
      <c r="O3" s="142">
        <f t="shared" si="3"/>
        <v>3846.2669999999998</v>
      </c>
      <c r="P3" s="142">
        <v>20614</v>
      </c>
      <c r="Q3" s="142">
        <v>168</v>
      </c>
      <c r="R3" s="90">
        <f t="shared" si="4"/>
        <v>3268.0522875000006</v>
      </c>
      <c r="S3" s="142">
        <f t="shared" si="4"/>
        <v>3268.07</v>
      </c>
      <c r="T3" s="142">
        <f t="shared" si="5"/>
        <v>27896.337</v>
      </c>
      <c r="U3" s="175"/>
    </row>
    <row r="4" spans="1:21" ht="25.5" customHeight="1">
      <c r="A4" s="80" t="s">
        <v>197</v>
      </c>
      <c r="B4" s="169">
        <v>37.5</v>
      </c>
      <c r="C4" s="125">
        <v>28.68</v>
      </c>
      <c r="D4" s="129">
        <f t="shared" si="0"/>
        <v>29.181900000000002</v>
      </c>
      <c r="E4" s="90">
        <f>(B4*D4)*52</f>
        <v>56904.705000000009</v>
      </c>
      <c r="F4" s="142">
        <f>D4*21.25*52</f>
        <v>32245.999500000005</v>
      </c>
      <c r="G4" s="90">
        <f>(8*D4)*52</f>
        <v>12139.670400000001</v>
      </c>
      <c r="H4" s="90">
        <f>E4*0.0625</f>
        <v>3556.5440625000006</v>
      </c>
      <c r="I4" s="90">
        <f t="shared" si="1"/>
        <v>4353.2099325000008</v>
      </c>
      <c r="J4" s="90">
        <f>(7.25*D4)*52</f>
        <v>11001.576300000001</v>
      </c>
      <c r="K4" s="136"/>
      <c r="M4" s="80" t="s">
        <v>107</v>
      </c>
      <c r="N4" s="90">
        <f t="shared" si="2"/>
        <v>4353.2099325000008</v>
      </c>
      <c r="O4" s="142">
        <f t="shared" si="3"/>
        <v>2466.8189617500002</v>
      </c>
      <c r="P4" s="142">
        <v>28557</v>
      </c>
      <c r="Q4" s="142">
        <v>168</v>
      </c>
      <c r="R4" s="90">
        <f t="shared" si="4"/>
        <v>3698.8058250000008</v>
      </c>
      <c r="S4" s="142">
        <f t="shared" si="4"/>
        <v>2095.9899675000006</v>
      </c>
      <c r="T4" s="142">
        <f t="shared" si="5"/>
        <v>33287.808929250001</v>
      </c>
      <c r="U4" s="175"/>
    </row>
    <row r="5" spans="1:21" ht="25.5" customHeight="1">
      <c r="A5" s="80" t="s">
        <v>198</v>
      </c>
      <c r="B5" s="169">
        <v>35</v>
      </c>
      <c r="C5" s="125">
        <v>28.68</v>
      </c>
      <c r="D5" s="129">
        <f t="shared" si="0"/>
        <v>29.181900000000002</v>
      </c>
      <c r="E5" s="90">
        <f>(B5*D5)*52</f>
        <v>53111.058000000005</v>
      </c>
      <c r="F5" s="142">
        <f>D5*15*52</f>
        <v>22761.882000000001</v>
      </c>
      <c r="G5" s="90">
        <f>(6.75*D5)*52</f>
        <v>10242.8469</v>
      </c>
      <c r="H5" s="90">
        <f>E5*0.0625</f>
        <v>3319.4411250000003</v>
      </c>
      <c r="I5" s="90">
        <f t="shared" si="1"/>
        <v>4062.9959370000001</v>
      </c>
      <c r="J5" s="90">
        <f>(13.25*D5)*52</f>
        <v>20106.329100000003</v>
      </c>
      <c r="K5" s="136"/>
      <c r="M5" s="80" t="s">
        <v>126</v>
      </c>
      <c r="N5" s="90">
        <f t="shared" si="2"/>
        <v>4062.9959370000001</v>
      </c>
      <c r="O5" s="142">
        <f t="shared" si="3"/>
        <v>1741.2839730000001</v>
      </c>
      <c r="P5" s="142">
        <v>8816</v>
      </c>
      <c r="Q5" s="142">
        <v>168</v>
      </c>
      <c r="R5" s="90">
        <f t="shared" si="4"/>
        <v>3452.2187700000004</v>
      </c>
      <c r="S5" s="142">
        <f t="shared" si="4"/>
        <v>1479.5223300000002</v>
      </c>
      <c r="T5" s="142">
        <f t="shared" si="5"/>
        <v>12204.806302999999</v>
      </c>
      <c r="U5" s="175"/>
    </row>
    <row r="6" spans="1:21" ht="30.75" customHeight="1">
      <c r="A6" s="80" t="s">
        <v>203</v>
      </c>
      <c r="B6" s="81">
        <v>4</v>
      </c>
      <c r="C6" s="125">
        <v>47.16</v>
      </c>
      <c r="D6" s="129">
        <f t="shared" si="0"/>
        <v>47.985300000000002</v>
      </c>
      <c r="E6" s="90">
        <f>(B6*D6)*46</f>
        <v>8829.2952000000005</v>
      </c>
      <c r="F6" s="142">
        <f>E6*0.3125</f>
        <v>2759.1547500000001</v>
      </c>
      <c r="G6" s="90">
        <v>0</v>
      </c>
      <c r="H6" s="90">
        <v>0</v>
      </c>
      <c r="I6" s="90">
        <f t="shared" si="1"/>
        <v>675.4410828</v>
      </c>
      <c r="J6" s="90">
        <v>6069</v>
      </c>
      <c r="K6" s="136"/>
      <c r="M6" s="80" t="s">
        <v>125</v>
      </c>
      <c r="N6" s="90">
        <f t="shared" si="2"/>
        <v>675.4410828</v>
      </c>
      <c r="O6" s="142">
        <f t="shared" si="3"/>
        <v>211.075338375</v>
      </c>
      <c r="P6" s="142">
        <v>0</v>
      </c>
      <c r="Q6" s="142">
        <v>0</v>
      </c>
      <c r="R6" s="90">
        <v>0</v>
      </c>
      <c r="S6" s="142">
        <v>0</v>
      </c>
      <c r="T6" s="142">
        <f t="shared" si="5"/>
        <v>211.075338375</v>
      </c>
      <c r="U6" s="175"/>
    </row>
    <row r="7" spans="1:21" ht="25.5" customHeight="1">
      <c r="A7" s="80" t="s">
        <v>199</v>
      </c>
      <c r="B7" s="81">
        <v>30</v>
      </c>
      <c r="C7" s="125">
        <v>22.56</v>
      </c>
      <c r="D7" s="129">
        <f t="shared" si="0"/>
        <v>22.954799999999999</v>
      </c>
      <c r="E7" s="90">
        <f>(B7*D7)*52</f>
        <v>35809.487999999998</v>
      </c>
      <c r="F7" s="142">
        <f>E7*0.11</f>
        <v>3939.0436799999998</v>
      </c>
      <c r="G7" s="90">
        <f>(13.25*D7)*52</f>
        <v>15815.857199999999</v>
      </c>
      <c r="H7" s="90">
        <f>E7*0.0625</f>
        <v>2238.0929999999998</v>
      </c>
      <c r="I7" s="90">
        <f t="shared" si="1"/>
        <v>2739.4258319999999</v>
      </c>
      <c r="J7" s="90">
        <f>(13.5*D7)*52</f>
        <v>16114.2696</v>
      </c>
      <c r="K7" s="136"/>
      <c r="M7" s="80" t="s">
        <v>121</v>
      </c>
      <c r="N7" s="90">
        <f t="shared" si="2"/>
        <v>2739.4258319999999</v>
      </c>
      <c r="O7" s="142">
        <f t="shared" si="3"/>
        <v>301.33684151999995</v>
      </c>
      <c r="P7" s="142" t="s">
        <v>215</v>
      </c>
      <c r="Q7" s="142">
        <v>0</v>
      </c>
      <c r="R7" s="90">
        <f>E7*0.065</f>
        <v>2327.61672</v>
      </c>
      <c r="S7" s="142">
        <f>F7*0.065</f>
        <v>256.03783920000001</v>
      </c>
      <c r="T7" s="142">
        <f>O7+Q7+S7</f>
        <v>557.37468072000001</v>
      </c>
      <c r="U7" s="175"/>
    </row>
    <row r="8" spans="1:21" ht="39" customHeight="1">
      <c r="A8" s="80" t="s">
        <v>202</v>
      </c>
      <c r="B8" s="81">
        <v>18</v>
      </c>
      <c r="C8" s="125">
        <v>19.399999999999999</v>
      </c>
      <c r="D8" s="129">
        <f t="shared" si="0"/>
        <v>19.7395</v>
      </c>
      <c r="E8" s="90">
        <f>(B8*D8)*42</f>
        <v>14923.062</v>
      </c>
      <c r="F8" s="142">
        <f>14923*0.33</f>
        <v>4924.59</v>
      </c>
      <c r="G8" s="90">
        <f>(8*19.74)*42</f>
        <v>6632.6399999999994</v>
      </c>
      <c r="H8" s="90">
        <v>0</v>
      </c>
      <c r="I8" s="90">
        <f t="shared" si="1"/>
        <v>1141.614243</v>
      </c>
      <c r="J8" s="90">
        <f>(4*19.74)*42</f>
        <v>3316.3199999999997</v>
      </c>
      <c r="K8" s="136"/>
      <c r="M8" s="80" t="s">
        <v>120</v>
      </c>
      <c r="N8" s="90">
        <f t="shared" si="2"/>
        <v>1141.614243</v>
      </c>
      <c r="O8" s="142">
        <f t="shared" si="3"/>
        <v>376.73113499999999</v>
      </c>
      <c r="P8" s="142">
        <v>0</v>
      </c>
      <c r="Q8" s="142">
        <v>0</v>
      </c>
      <c r="R8" s="90">
        <v>0</v>
      </c>
      <c r="S8" s="142">
        <v>0</v>
      </c>
      <c r="T8" s="142">
        <f t="shared" si="5"/>
        <v>376.73113499999999</v>
      </c>
    </row>
    <row r="9" spans="1:21" ht="51.75" customHeight="1">
      <c r="A9" s="80" t="s">
        <v>128</v>
      </c>
      <c r="B9" s="169" t="s">
        <v>127</v>
      </c>
      <c r="C9" s="126" t="s">
        <v>129</v>
      </c>
      <c r="D9" s="129" t="s">
        <v>200</v>
      </c>
      <c r="E9" s="90">
        <v>5100</v>
      </c>
      <c r="F9" s="142">
        <v>0</v>
      </c>
      <c r="G9" s="90">
        <v>0</v>
      </c>
      <c r="H9" s="90">
        <v>0</v>
      </c>
      <c r="I9" s="90">
        <f t="shared" si="1"/>
        <v>390.15</v>
      </c>
      <c r="J9" s="90">
        <v>5100</v>
      </c>
      <c r="K9" s="136"/>
      <c r="M9" s="80" t="s">
        <v>128</v>
      </c>
      <c r="N9" s="90">
        <f t="shared" si="2"/>
        <v>390.15</v>
      </c>
      <c r="O9" s="142">
        <f t="shared" si="3"/>
        <v>0</v>
      </c>
      <c r="P9" s="142">
        <v>0</v>
      </c>
      <c r="Q9" s="142">
        <v>0</v>
      </c>
      <c r="R9" s="90">
        <v>0</v>
      </c>
      <c r="S9" s="142">
        <f>F9*0.0625</f>
        <v>0</v>
      </c>
      <c r="T9" s="142">
        <f t="shared" si="5"/>
        <v>0</v>
      </c>
    </row>
    <row r="10" spans="1:21" ht="25.5">
      <c r="A10" s="80" t="s">
        <v>149</v>
      </c>
      <c r="B10" s="169">
        <v>5</v>
      </c>
      <c r="C10" s="126" t="s">
        <v>150</v>
      </c>
      <c r="D10" s="129">
        <v>20.350000000000001</v>
      </c>
      <c r="E10" s="90">
        <f>5*20.35*52</f>
        <v>5291</v>
      </c>
      <c r="F10" s="142">
        <v>0</v>
      </c>
      <c r="G10" s="90">
        <v>0</v>
      </c>
      <c r="H10" s="90"/>
      <c r="I10" s="90"/>
      <c r="J10" s="90">
        <v>5291</v>
      </c>
      <c r="K10" s="136"/>
      <c r="M10" s="80" t="s">
        <v>149</v>
      </c>
      <c r="N10" s="90">
        <f t="shared" si="2"/>
        <v>404.76150000000001</v>
      </c>
      <c r="O10" s="142">
        <f t="shared" si="3"/>
        <v>0</v>
      </c>
      <c r="P10" s="142">
        <v>0</v>
      </c>
      <c r="Q10" s="142">
        <v>0</v>
      </c>
      <c r="R10" s="90">
        <v>0</v>
      </c>
      <c r="S10" s="142">
        <f>F10*0.0625</f>
        <v>0</v>
      </c>
      <c r="T10" s="142">
        <f t="shared" si="5"/>
        <v>0</v>
      </c>
    </row>
    <row r="11" spans="1:21" ht="32.25" customHeight="1">
      <c r="A11" s="80" t="s">
        <v>204</v>
      </c>
      <c r="B11" s="169" t="s">
        <v>205</v>
      </c>
      <c r="C11" s="126">
        <v>20</v>
      </c>
      <c r="D11" s="129">
        <f>C11*1.0175</f>
        <v>20.350000000000001</v>
      </c>
      <c r="E11" s="90">
        <f>20.35*72</f>
        <v>1465.2</v>
      </c>
      <c r="F11" s="142">
        <v>0</v>
      </c>
      <c r="G11" s="90">
        <v>0</v>
      </c>
      <c r="H11" s="90">
        <v>0</v>
      </c>
      <c r="I11" s="90">
        <f>E11*0.0765</f>
        <v>112.0878</v>
      </c>
      <c r="J11" s="90">
        <v>1465</v>
      </c>
      <c r="K11" s="136"/>
      <c r="M11" s="80" t="s">
        <v>132</v>
      </c>
      <c r="N11" s="90">
        <f t="shared" si="2"/>
        <v>112.0878</v>
      </c>
      <c r="O11" s="142">
        <f t="shared" si="3"/>
        <v>0</v>
      </c>
      <c r="P11" s="142">
        <v>0</v>
      </c>
      <c r="Q11" s="142">
        <v>0</v>
      </c>
      <c r="R11" s="90">
        <v>0</v>
      </c>
      <c r="S11" s="142">
        <f>F11*0.0625</f>
        <v>0</v>
      </c>
      <c r="T11" s="142">
        <f t="shared" si="5"/>
        <v>0</v>
      </c>
    </row>
    <row r="12" spans="1:21" ht="42" customHeight="1">
      <c r="A12" s="80" t="s">
        <v>207</v>
      </c>
      <c r="B12" s="169" t="s">
        <v>206</v>
      </c>
      <c r="C12" s="126">
        <v>16.399999999999999</v>
      </c>
      <c r="D12" s="129">
        <f>C12*1.0175</f>
        <v>16.687000000000001</v>
      </c>
      <c r="E12" s="90">
        <f>30*16.69</f>
        <v>500.70000000000005</v>
      </c>
      <c r="F12" s="142">
        <v>501</v>
      </c>
      <c r="G12" s="90">
        <v>0</v>
      </c>
      <c r="H12" s="90">
        <v>0</v>
      </c>
      <c r="I12" s="90">
        <f>E12*0.0765</f>
        <v>38.303550000000001</v>
      </c>
      <c r="J12" s="90">
        <v>0</v>
      </c>
      <c r="K12" s="136"/>
      <c r="M12" s="80" t="s">
        <v>131</v>
      </c>
      <c r="N12" s="90">
        <f t="shared" si="2"/>
        <v>38.303550000000001</v>
      </c>
      <c r="O12" s="142">
        <f t="shared" si="3"/>
        <v>38.326499999999996</v>
      </c>
      <c r="P12" s="142">
        <v>0</v>
      </c>
      <c r="Q12" s="142">
        <v>0</v>
      </c>
      <c r="R12" s="90">
        <v>0</v>
      </c>
      <c r="S12" s="142">
        <v>0</v>
      </c>
      <c r="T12" s="142">
        <f t="shared" si="5"/>
        <v>38.326499999999996</v>
      </c>
    </row>
    <row r="13" spans="1:21" ht="28.5" customHeight="1">
      <c r="A13" s="78" t="s">
        <v>213</v>
      </c>
      <c r="B13" s="169" t="s">
        <v>217</v>
      </c>
      <c r="C13" s="126"/>
      <c r="D13" s="131">
        <v>15.26</v>
      </c>
      <c r="E13" s="90">
        <f>15.26*105</f>
        <v>1602.3</v>
      </c>
      <c r="F13" s="142">
        <v>1602</v>
      </c>
      <c r="G13" s="90">
        <v>0</v>
      </c>
      <c r="H13" s="90"/>
      <c r="I13" s="90"/>
      <c r="J13" s="90">
        <v>0</v>
      </c>
      <c r="K13" s="136"/>
      <c r="M13" s="80" t="s">
        <v>211</v>
      </c>
      <c r="N13" s="90">
        <f t="shared" si="2"/>
        <v>122.57594999999999</v>
      </c>
      <c r="O13" s="142">
        <f t="shared" si="3"/>
        <v>122.553</v>
      </c>
      <c r="P13" s="142">
        <v>0</v>
      </c>
      <c r="Q13" s="142">
        <v>0</v>
      </c>
      <c r="R13" s="90">
        <v>0</v>
      </c>
      <c r="S13" s="142">
        <v>0</v>
      </c>
      <c r="T13" s="142">
        <f t="shared" si="5"/>
        <v>122.553</v>
      </c>
    </row>
    <row r="14" spans="1:21" ht="27" customHeight="1">
      <c r="A14" s="78" t="s">
        <v>130</v>
      </c>
      <c r="B14" s="81"/>
      <c r="C14" s="95"/>
      <c r="D14" s="127"/>
      <c r="E14" s="90">
        <f>SUM(E2:E12)</f>
        <v>307466.23570000002</v>
      </c>
      <c r="F14" s="141">
        <f>SUM(F2:F13)</f>
        <v>194265.66993</v>
      </c>
      <c r="G14" s="90">
        <f>SUM(G2:G13)</f>
        <v>44831.014499999997</v>
      </c>
      <c r="H14" s="90">
        <f>SUM(H2:H12)</f>
        <v>16959.811156250002</v>
      </c>
      <c r="I14" s="90">
        <f>SUM(I2:I12)</f>
        <v>23116.405531050004</v>
      </c>
      <c r="J14" s="90">
        <f>SUM(J2:J13)</f>
        <v>68463.494999999995</v>
      </c>
      <c r="K14" s="136"/>
      <c r="M14" s="78" t="s">
        <v>238</v>
      </c>
      <c r="N14" s="90">
        <f>SUM(N2:N13)</f>
        <v>23643.742981050003</v>
      </c>
      <c r="O14" s="142">
        <f>SUM(O2:O13)</f>
        <v>14861.323749644998</v>
      </c>
      <c r="P14" s="142">
        <f>SUM(P2:P6)</f>
        <v>88842</v>
      </c>
      <c r="Q14" s="142">
        <f>SUM(Q2:Q13)</f>
        <v>981</v>
      </c>
      <c r="R14" s="90">
        <f>SUM(R2:R13)</f>
        <v>17638.203602500005</v>
      </c>
      <c r="S14" s="142">
        <f>SUM(S2:S13)</f>
        <v>11991.1301367</v>
      </c>
      <c r="T14" s="142">
        <f>SUM(T2:T13)</f>
        <v>116675.45388634497</v>
      </c>
    </row>
    <row r="15" spans="1:21" ht="15.75" thickBot="1">
      <c r="A15" s="96" t="s">
        <v>210</v>
      </c>
      <c r="B15" s="97"/>
      <c r="C15" s="98"/>
      <c r="D15" s="128"/>
      <c r="E15" s="130">
        <v>1</v>
      </c>
      <c r="F15" s="147">
        <f>F14/E14</f>
        <v>0.63182765251514739</v>
      </c>
      <c r="G15" s="130">
        <f>G14/E14</f>
        <v>0.14580792716291091</v>
      </c>
      <c r="H15" s="130"/>
      <c r="I15" s="130"/>
      <c r="J15" s="130">
        <f>J14/E14</f>
        <v>0.2226699619362465</v>
      </c>
      <c r="K15" s="136"/>
      <c r="M15" s="148" t="s">
        <v>231</v>
      </c>
      <c r="N15" s="130">
        <v>1</v>
      </c>
      <c r="O15" s="147">
        <f>O14/N14</f>
        <v>0.62855207661308354</v>
      </c>
      <c r="P15" s="147">
        <v>1</v>
      </c>
      <c r="Q15" s="147">
        <v>1</v>
      </c>
      <c r="R15" s="130">
        <v>1</v>
      </c>
      <c r="S15" s="147">
        <f>S14/R14</f>
        <v>0.6798385145639434</v>
      </c>
      <c r="T15" s="136"/>
    </row>
    <row r="16" spans="1:21" ht="27" customHeight="1" thickTop="1">
      <c r="A16" s="143"/>
      <c r="B16" s="144"/>
      <c r="C16" s="145"/>
      <c r="D16" s="48"/>
      <c r="E16" s="136"/>
      <c r="F16" s="136"/>
      <c r="G16" s="146"/>
      <c r="H16" s="136"/>
      <c r="I16" s="136"/>
      <c r="J16" s="146"/>
      <c r="K16" s="136"/>
      <c r="N16" s="136"/>
      <c r="O16" s="136"/>
      <c r="R16" s="136"/>
      <c r="S16" s="136"/>
      <c r="T16" s="136"/>
    </row>
    <row r="17" spans="1:18">
      <c r="D17" s="48"/>
    </row>
    <row r="19" spans="1:18" s="83" customFormat="1" ht="12.75">
      <c r="A19" s="84"/>
      <c r="B19" s="84"/>
      <c r="C19" s="84"/>
      <c r="E19" s="94"/>
      <c r="F19" s="94"/>
      <c r="G19" s="117"/>
      <c r="H19" s="91"/>
      <c r="I19" s="91"/>
      <c r="J19" s="118"/>
      <c r="N19" s="91"/>
      <c r="O19" s="82"/>
      <c r="R19" s="91"/>
    </row>
    <row r="20" spans="1:18" s="83" customFormat="1" ht="12.75" customHeight="1">
      <c r="A20" s="178" t="s">
        <v>227</v>
      </c>
      <c r="B20" s="180"/>
      <c r="C20" s="173"/>
      <c r="D20" s="173"/>
      <c r="E20" s="173"/>
      <c r="F20" s="173"/>
      <c r="L20" s="85"/>
      <c r="M20" s="184" t="s">
        <v>250</v>
      </c>
      <c r="N20" s="185"/>
    </row>
    <row r="21" spans="1:18" s="83" customFormat="1" ht="12.75" customHeight="1">
      <c r="A21" s="179"/>
      <c r="B21" s="181"/>
      <c r="C21" s="174"/>
      <c r="D21" s="174"/>
      <c r="E21" s="174"/>
      <c r="F21" s="174"/>
      <c r="L21" s="82"/>
      <c r="M21" s="186"/>
      <c r="N21" s="187"/>
    </row>
    <row r="22" spans="1:18" s="83" customFormat="1">
      <c r="A22" s="106" t="s">
        <v>112</v>
      </c>
      <c r="B22" s="107">
        <f>$F$2</f>
        <v>75254</v>
      </c>
      <c r="M22" s="106" t="s">
        <v>113</v>
      </c>
      <c r="N22" s="107">
        <v>36515</v>
      </c>
      <c r="O22"/>
      <c r="R22"/>
    </row>
    <row r="23" spans="1:18" s="83" customFormat="1">
      <c r="A23" s="108" t="s">
        <v>114</v>
      </c>
      <c r="B23" s="109">
        <f>25.34*37.5*52</f>
        <v>49413</v>
      </c>
      <c r="M23" s="108" t="s">
        <v>115</v>
      </c>
      <c r="N23" s="109">
        <v>23128</v>
      </c>
      <c r="O23"/>
      <c r="R23"/>
    </row>
    <row r="24" spans="1:18" s="83" customFormat="1">
      <c r="A24" s="106" t="s">
        <v>108</v>
      </c>
      <c r="B24" s="107">
        <f>(28.68*35*52)*0.57</f>
        <v>29752.631999999998</v>
      </c>
      <c r="M24" s="106" t="s">
        <v>109</v>
      </c>
      <c r="N24" s="107">
        <v>28736</v>
      </c>
      <c r="O24"/>
      <c r="R24"/>
    </row>
    <row r="25" spans="1:18" s="83" customFormat="1">
      <c r="A25" s="106" t="s">
        <v>110</v>
      </c>
      <c r="B25" s="107">
        <f>(28.68*30*52)*0.33</f>
        <v>14764.464</v>
      </c>
      <c r="M25" s="106" t="s">
        <v>111</v>
      </c>
      <c r="N25" s="107">
        <v>1849</v>
      </c>
      <c r="O25"/>
      <c r="R25"/>
    </row>
    <row r="26" spans="1:18" s="83" customFormat="1">
      <c r="A26" s="108" t="s">
        <v>116</v>
      </c>
      <c r="B26" s="109">
        <f>47.16*46*1.25</f>
        <v>2711.7</v>
      </c>
      <c r="M26" s="108" t="s">
        <v>117</v>
      </c>
      <c r="N26" s="109">
        <v>168</v>
      </c>
      <c r="O26"/>
      <c r="R26"/>
    </row>
    <row r="27" spans="1:18" s="83" customFormat="1">
      <c r="A27" s="106" t="s">
        <v>136</v>
      </c>
      <c r="B27" s="107">
        <f>(22.56*30*52)*0.11</f>
        <v>3871.2959999999998</v>
      </c>
      <c r="M27" s="106" t="s">
        <v>118</v>
      </c>
      <c r="N27" s="107">
        <v>548</v>
      </c>
      <c r="O27"/>
      <c r="R27"/>
    </row>
    <row r="28" spans="1:18" s="83" customFormat="1">
      <c r="A28" s="106" t="s">
        <v>119</v>
      </c>
      <c r="B28" s="107">
        <v>0</v>
      </c>
      <c r="M28" s="106" t="s">
        <v>193</v>
      </c>
      <c r="N28" s="107">
        <v>0</v>
      </c>
      <c r="O28"/>
      <c r="R28"/>
    </row>
    <row r="29" spans="1:18" s="83" customFormat="1" ht="26.25">
      <c r="A29" s="132" t="s">
        <v>224</v>
      </c>
      <c r="B29" s="107">
        <v>0</v>
      </c>
      <c r="C29" s="86"/>
      <c r="M29" s="132" t="s">
        <v>218</v>
      </c>
      <c r="N29" s="107">
        <v>0</v>
      </c>
      <c r="O29"/>
      <c r="R29"/>
    </row>
    <row r="30" spans="1:18" s="83" customFormat="1" ht="26.25">
      <c r="A30" s="132" t="s">
        <v>225</v>
      </c>
      <c r="B30" s="107">
        <v>0</v>
      </c>
      <c r="C30" s="86"/>
      <c r="M30" s="132" t="s">
        <v>211</v>
      </c>
      <c r="N30" s="107">
        <v>0</v>
      </c>
      <c r="O30"/>
      <c r="R30"/>
    </row>
    <row r="31" spans="1:18">
      <c r="A31" s="110" t="s">
        <v>147</v>
      </c>
      <c r="B31" s="92">
        <f>SUM(B22:B29)</f>
        <v>175767.092</v>
      </c>
      <c r="L31" s="88"/>
      <c r="M31" s="110" t="s">
        <v>147</v>
      </c>
      <c r="N31" s="92">
        <f>SUM(N22:N30)</f>
        <v>90944</v>
      </c>
      <c r="R31"/>
    </row>
    <row r="32" spans="1:18" customFormat="1" ht="12.75" customHeight="1">
      <c r="E32" s="91"/>
      <c r="F32" s="91"/>
      <c r="G32" s="118"/>
      <c r="H32" s="93"/>
      <c r="I32" s="91"/>
      <c r="J32" s="118"/>
      <c r="K32" s="88"/>
    </row>
    <row r="33" spans="1:20" ht="29.25" customHeight="1">
      <c r="A33" s="121" t="s">
        <v>228</v>
      </c>
      <c r="B33" s="122"/>
      <c r="C33" s="124"/>
      <c r="E33" s="124"/>
      <c r="F33" s="124"/>
      <c r="G33" s="124"/>
      <c r="H33" s="122"/>
      <c r="I33"/>
      <c r="J33" s="119"/>
      <c r="K33" s="48"/>
      <c r="L33"/>
      <c r="M33" s="182" t="s">
        <v>230</v>
      </c>
      <c r="N33" s="183"/>
      <c r="O33"/>
      <c r="P33"/>
      <c r="Q33"/>
      <c r="R33"/>
      <c r="S33"/>
      <c r="T33"/>
    </row>
    <row r="34" spans="1:20">
      <c r="A34" s="106" t="s">
        <v>112</v>
      </c>
      <c r="B34" s="133">
        <f>$F$2</f>
        <v>75254</v>
      </c>
      <c r="C34" s="91"/>
      <c r="F34" s="83"/>
      <c r="G34" s="118"/>
      <c r="H34" s="123"/>
      <c r="I34"/>
      <c r="J34" s="119"/>
      <c r="K34" s="48"/>
      <c r="L34"/>
      <c r="M34" s="106" t="s">
        <v>113</v>
      </c>
      <c r="N34" s="133">
        <f>O2+P2+Q2+S2</f>
        <v>41980.440999999999</v>
      </c>
      <c r="O34"/>
      <c r="P34"/>
      <c r="Q34"/>
      <c r="R34"/>
      <c r="S34"/>
      <c r="T34"/>
    </row>
    <row r="35" spans="1:20">
      <c r="A35" s="108" t="s">
        <v>114</v>
      </c>
      <c r="B35" s="133">
        <f>$F$3</f>
        <v>50278</v>
      </c>
      <c r="C35" s="91"/>
      <c r="F35" s="83"/>
      <c r="G35" s="118"/>
      <c r="H35" s="123"/>
      <c r="I35"/>
      <c r="J35" s="119"/>
      <c r="K35" s="48"/>
      <c r="L35"/>
      <c r="M35" s="108" t="s">
        <v>115</v>
      </c>
      <c r="N35" s="133">
        <f>O3+P3+Q3+S3</f>
        <v>27896.337</v>
      </c>
      <c r="O35"/>
      <c r="P35"/>
      <c r="Q35"/>
      <c r="R35"/>
      <c r="S35"/>
      <c r="T35"/>
    </row>
    <row r="36" spans="1:20">
      <c r="A36" s="106" t="s">
        <v>219</v>
      </c>
      <c r="B36" s="133">
        <f>$F$4</f>
        <v>32245.999500000005</v>
      </c>
      <c r="C36" s="91"/>
      <c r="F36" s="83"/>
      <c r="G36" s="118"/>
      <c r="H36" s="123"/>
      <c r="I36"/>
      <c r="J36" s="119"/>
      <c r="K36" s="48"/>
      <c r="L36"/>
      <c r="M36" s="106" t="s">
        <v>109</v>
      </c>
      <c r="N36" s="133">
        <f>O4+P4+Q4+S4</f>
        <v>33287.808929250001</v>
      </c>
      <c r="O36"/>
      <c r="P36"/>
      <c r="Q36"/>
      <c r="R36"/>
      <c r="S36"/>
      <c r="T36"/>
    </row>
    <row r="37" spans="1:20">
      <c r="A37" s="106" t="s">
        <v>220</v>
      </c>
      <c r="B37" s="133">
        <f>$F$5</f>
        <v>22761.882000000001</v>
      </c>
      <c r="C37" s="91"/>
      <c r="F37" s="83"/>
      <c r="G37" s="118"/>
      <c r="H37" s="123"/>
      <c r="I37"/>
      <c r="J37" s="119"/>
      <c r="K37" s="48"/>
      <c r="L37"/>
      <c r="M37" s="106" t="s">
        <v>229</v>
      </c>
      <c r="N37" s="133">
        <f>O5+P5+Q5+S5</f>
        <v>12204.806302999999</v>
      </c>
      <c r="O37"/>
      <c r="P37"/>
      <c r="Q37"/>
      <c r="R37"/>
      <c r="S37"/>
      <c r="T37"/>
    </row>
    <row r="38" spans="1:20">
      <c r="A38" s="108" t="s">
        <v>221</v>
      </c>
      <c r="B38" s="133">
        <f>$F$6</f>
        <v>2759.1547500000001</v>
      </c>
      <c r="C38" s="91"/>
      <c r="F38" s="83"/>
      <c r="G38" s="118"/>
      <c r="H38" s="123"/>
      <c r="I38"/>
      <c r="J38" s="119"/>
      <c r="K38" s="48"/>
      <c r="L38"/>
      <c r="M38" s="108" t="s">
        <v>117</v>
      </c>
      <c r="N38" s="133">
        <f>O6+P6+Q6+S6</f>
        <v>211.075338375</v>
      </c>
      <c r="O38"/>
      <c r="P38"/>
      <c r="Q38"/>
      <c r="R38"/>
      <c r="S38"/>
      <c r="T38"/>
    </row>
    <row r="39" spans="1:20">
      <c r="A39" s="106" t="s">
        <v>136</v>
      </c>
      <c r="B39" s="133">
        <f>$F$7</f>
        <v>3939.0436799999998</v>
      </c>
      <c r="C39" s="91"/>
      <c r="F39" s="83"/>
      <c r="G39" s="118"/>
      <c r="H39" s="123"/>
      <c r="I39"/>
      <c r="J39" s="119"/>
      <c r="K39" s="48"/>
      <c r="L39"/>
      <c r="M39" s="106" t="s">
        <v>118</v>
      </c>
      <c r="N39" s="133">
        <f>O7+Q7+S7</f>
        <v>557.37468072000001</v>
      </c>
      <c r="O39" s="106" t="s">
        <v>251</v>
      </c>
      <c r="P39"/>
      <c r="Q39"/>
      <c r="R39"/>
      <c r="S39"/>
      <c r="T39"/>
    </row>
    <row r="40" spans="1:20">
      <c r="A40" s="106" t="s">
        <v>222</v>
      </c>
      <c r="B40" s="133">
        <f>$F$8</f>
        <v>4924.59</v>
      </c>
      <c r="C40" s="91"/>
      <c r="F40" s="83"/>
      <c r="G40" s="118"/>
      <c r="H40" s="123"/>
      <c r="I40"/>
      <c r="J40" s="119"/>
      <c r="K40" s="48"/>
      <c r="L40"/>
      <c r="M40" s="106" t="s">
        <v>193</v>
      </c>
      <c r="N40" s="133">
        <f>O8+P8+Q8+S8</f>
        <v>376.73113499999999</v>
      </c>
      <c r="O40"/>
      <c r="P40"/>
      <c r="Q40"/>
      <c r="R40"/>
      <c r="S40"/>
      <c r="T40"/>
    </row>
    <row r="41" spans="1:20" ht="26.25">
      <c r="A41" s="132" t="s">
        <v>223</v>
      </c>
      <c r="B41" s="133">
        <v>501</v>
      </c>
      <c r="C41" s="91"/>
      <c r="F41" s="83"/>
      <c r="G41" s="118"/>
      <c r="H41" s="123"/>
      <c r="I41"/>
      <c r="J41" s="119"/>
      <c r="K41" s="48"/>
      <c r="L41"/>
      <c r="M41" s="132" t="s">
        <v>218</v>
      </c>
      <c r="N41" s="133">
        <v>38</v>
      </c>
      <c r="O41"/>
      <c r="P41"/>
      <c r="Q41"/>
      <c r="R41"/>
      <c r="S41"/>
      <c r="T41"/>
    </row>
    <row r="42" spans="1:20" ht="17.25" customHeight="1">
      <c r="A42" s="132" t="s">
        <v>226</v>
      </c>
      <c r="B42" s="133">
        <f>$F$13</f>
        <v>1602</v>
      </c>
      <c r="C42" s="91"/>
      <c r="F42" s="83"/>
      <c r="G42" s="118"/>
      <c r="H42" s="123"/>
      <c r="I42"/>
      <c r="J42" s="119"/>
      <c r="K42" s="48"/>
      <c r="L42"/>
      <c r="M42" s="132" t="s">
        <v>211</v>
      </c>
      <c r="N42" s="133">
        <v>123</v>
      </c>
      <c r="O42"/>
      <c r="P42"/>
      <c r="Q42"/>
      <c r="R42"/>
      <c r="S42"/>
      <c r="T42"/>
    </row>
    <row r="43" spans="1:20">
      <c r="A43" s="134" t="s">
        <v>148</v>
      </c>
      <c r="B43" s="92">
        <f>SUM(B34:B42)</f>
        <v>194265.66993</v>
      </c>
      <c r="C43" s="91"/>
      <c r="E43" s="91"/>
      <c r="F43" s="91"/>
      <c r="G43" s="118"/>
      <c r="H43" s="92"/>
      <c r="I43"/>
      <c r="J43" s="119"/>
      <c r="K43" s="48"/>
      <c r="L43"/>
      <c r="M43" s="134" t="s">
        <v>148</v>
      </c>
      <c r="N43" s="92">
        <v>116675</v>
      </c>
      <c r="O43"/>
      <c r="P43"/>
      <c r="Q43"/>
      <c r="R43"/>
      <c r="S43"/>
      <c r="T43"/>
    </row>
    <row r="44" spans="1:20">
      <c r="A44"/>
      <c r="B44"/>
      <c r="C44"/>
      <c r="E44"/>
      <c r="F44"/>
      <c r="G44" s="119"/>
      <c r="H44"/>
      <c r="I44"/>
      <c r="J44" s="119"/>
      <c r="K44" s="48"/>
      <c r="L44"/>
      <c r="M44"/>
      <c r="N44"/>
      <c r="O44"/>
      <c r="P44"/>
      <c r="Q44"/>
      <c r="R44"/>
      <c r="S44"/>
      <c r="T44"/>
    </row>
    <row r="45" spans="1:20" ht="30.75" customHeight="1">
      <c r="A45" s="77" t="s">
        <v>239</v>
      </c>
      <c r="B45" s="78" t="s">
        <v>240</v>
      </c>
      <c r="C45" s="78" t="s">
        <v>122</v>
      </c>
      <c r="D45" s="78" t="s">
        <v>194</v>
      </c>
      <c r="E45" s="89" t="s">
        <v>241</v>
      </c>
      <c r="F45" s="141" t="s">
        <v>242</v>
      </c>
      <c r="G45" s="115" t="s">
        <v>243</v>
      </c>
      <c r="H45" s="89" t="s">
        <v>133</v>
      </c>
      <c r="I45" s="89" t="s">
        <v>134</v>
      </c>
      <c r="J45" s="115" t="s">
        <v>244</v>
      </c>
      <c r="K45" s="48"/>
      <c r="L45"/>
      <c r="M45"/>
      <c r="N45"/>
      <c r="O45"/>
      <c r="P45"/>
      <c r="Q45"/>
      <c r="R45"/>
      <c r="S45"/>
      <c r="T45"/>
    </row>
    <row r="46" spans="1:20" ht="41.25" customHeight="1">
      <c r="A46" s="78" t="s">
        <v>159</v>
      </c>
      <c r="B46" s="81" t="s">
        <v>135</v>
      </c>
      <c r="C46" s="80" t="s">
        <v>123</v>
      </c>
      <c r="D46" s="149">
        <v>25.92</v>
      </c>
      <c r="E46" s="90">
        <v>8631</v>
      </c>
      <c r="F46" s="90">
        <v>0</v>
      </c>
      <c r="G46" s="116">
        <f>50*25.928631</f>
        <v>1296.43155</v>
      </c>
      <c r="H46" s="90">
        <v>0</v>
      </c>
      <c r="I46" s="90">
        <v>0</v>
      </c>
      <c r="J46" s="116">
        <v>7335</v>
      </c>
      <c r="K46" s="136"/>
      <c r="M46"/>
      <c r="N46"/>
      <c r="O46"/>
      <c r="P46"/>
      <c r="Q46"/>
      <c r="R46"/>
      <c r="S46"/>
      <c r="T46"/>
    </row>
    <row r="47" spans="1:20" s="83" customFormat="1">
      <c r="A47" s="176" t="s">
        <v>166</v>
      </c>
      <c r="B47" s="177"/>
      <c r="C47" s="137"/>
      <c r="D47" s="138"/>
      <c r="E47" s="139">
        <f t="shared" ref="E47:J47" si="6">SUM(E14+E46)</f>
        <v>316097.23570000002</v>
      </c>
      <c r="F47" s="139">
        <f t="shared" si="6"/>
        <v>194265.66993</v>
      </c>
      <c r="G47" s="139">
        <f t="shared" si="6"/>
        <v>46127.446049999999</v>
      </c>
      <c r="H47" s="139">
        <f t="shared" si="6"/>
        <v>16959.811156250002</v>
      </c>
      <c r="I47" s="139">
        <f t="shared" si="6"/>
        <v>23116.405531050004</v>
      </c>
      <c r="J47" s="140">
        <f t="shared" si="6"/>
        <v>75798.494999999995</v>
      </c>
      <c r="K47" s="94"/>
      <c r="N47" s="91"/>
      <c r="O47" s="82"/>
      <c r="R47" s="91"/>
    </row>
    <row r="48" spans="1:20">
      <c r="A48"/>
      <c r="B48"/>
      <c r="C48"/>
      <c r="E48"/>
      <c r="F48"/>
      <c r="G48" s="119"/>
      <c r="H48"/>
      <c r="I48"/>
      <c r="J48" s="119"/>
      <c r="K48" s="48"/>
      <c r="L48"/>
      <c r="M48"/>
      <c r="N48"/>
      <c r="O48"/>
      <c r="P48"/>
      <c r="Q48"/>
      <c r="R48"/>
      <c r="S48"/>
      <c r="T48"/>
    </row>
    <row r="49" spans="5:11" customFormat="1">
      <c r="G49" s="119"/>
      <c r="J49" s="119"/>
      <c r="K49" s="48"/>
    </row>
    <row r="50" spans="5:11" customFormat="1">
      <c r="G50" s="119"/>
      <c r="J50" s="119"/>
      <c r="K50" s="48"/>
    </row>
    <row r="51" spans="5:11" customFormat="1">
      <c r="G51" s="119"/>
      <c r="J51" s="119"/>
      <c r="K51" s="48"/>
    </row>
    <row r="52" spans="5:11" customFormat="1">
      <c r="G52" s="119"/>
      <c r="J52" s="119"/>
      <c r="K52" s="48"/>
    </row>
    <row r="53" spans="5:11" customFormat="1">
      <c r="G53" s="119"/>
      <c r="J53" s="119"/>
      <c r="K53" s="48"/>
    </row>
    <row r="54" spans="5:11" customFormat="1">
      <c r="G54" s="119"/>
      <c r="J54" s="119"/>
      <c r="K54" s="48"/>
    </row>
    <row r="55" spans="5:11">
      <c r="E55"/>
      <c r="F55"/>
      <c r="G55" s="119"/>
      <c r="H55"/>
      <c r="I55"/>
      <c r="J55" s="119"/>
      <c r="K55" s="48"/>
    </row>
  </sheetData>
  <mergeCells count="10">
    <mergeCell ref="D20:D21"/>
    <mergeCell ref="U2:U7"/>
    <mergeCell ref="A47:B47"/>
    <mergeCell ref="A20:A21"/>
    <mergeCell ref="B20:B21"/>
    <mergeCell ref="C20:C21"/>
    <mergeCell ref="M33:N33"/>
    <mergeCell ref="E20:E21"/>
    <mergeCell ref="F20:F21"/>
    <mergeCell ref="M20:N21"/>
  </mergeCells>
  <phoneticPr fontId="8" type="noConversion"/>
  <printOptions horizontalCentered="1"/>
  <pageMargins left="0.5" right="0.5" top="0.75" bottom="0.25" header="0.5" footer="0.5"/>
  <pageSetup orientation="landscape" r:id="rId1"/>
  <headerFooter alignWithMargins="0">
    <oddHeader>&amp;LProposed Payroll FY 2015&amp;CSelectmen Requested Calculation be @ 1.75% - without steps</oddHeader>
    <oddFooter>&amp;L&amp;D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39"/>
  <sheetViews>
    <sheetView tabSelected="1" workbookViewId="0">
      <selection activeCell="B21" sqref="B21"/>
    </sheetView>
  </sheetViews>
  <sheetFormatPr defaultRowHeight="12.75"/>
  <cols>
    <col min="1" max="1" width="67.140625" style="161" bestFit="1" customWidth="1"/>
    <col min="2" max="2" width="14.7109375" style="161" customWidth="1"/>
    <col min="3" max="3" width="13.42578125" style="161" customWidth="1"/>
    <col min="4" max="16384" width="9.140625" style="161"/>
  </cols>
  <sheetData>
    <row r="1" spans="1:3">
      <c r="A1" s="188" t="s">
        <v>245</v>
      </c>
      <c r="B1" s="188"/>
      <c r="C1" s="188"/>
    </row>
    <row r="3" spans="1:3">
      <c r="A3" s="162" t="s">
        <v>179</v>
      </c>
      <c r="B3" s="188" t="s">
        <v>192</v>
      </c>
      <c r="C3" s="188"/>
    </row>
    <row r="4" spans="1:3">
      <c r="A4" s="163" t="s">
        <v>167</v>
      </c>
    </row>
    <row r="5" spans="1:3">
      <c r="A5" s="161" t="s">
        <v>168</v>
      </c>
      <c r="B5" s="161">
        <v>38008</v>
      </c>
    </row>
    <row r="6" spans="1:3">
      <c r="A6" s="161" t="s">
        <v>169</v>
      </c>
      <c r="B6" s="161">
        <v>4888</v>
      </c>
    </row>
    <row r="7" spans="1:3">
      <c r="A7" s="161" t="s">
        <v>170</v>
      </c>
      <c r="B7" s="161">
        <v>8500</v>
      </c>
    </row>
    <row r="8" spans="1:3">
      <c r="A8" s="161" t="s">
        <v>171</v>
      </c>
      <c r="B8" s="161">
        <v>10000</v>
      </c>
    </row>
    <row r="9" spans="1:3">
      <c r="A9" s="161" t="s">
        <v>172</v>
      </c>
      <c r="B9" s="164">
        <v>2400</v>
      </c>
      <c r="C9" s="161">
        <f>SUM(B5:B9)</f>
        <v>63796</v>
      </c>
    </row>
    <row r="12" spans="1:3">
      <c r="A12" s="163" t="s">
        <v>173</v>
      </c>
    </row>
    <row r="13" spans="1:3">
      <c r="A13" s="161" t="s">
        <v>174</v>
      </c>
      <c r="B13" s="161">
        <v>77402</v>
      </c>
    </row>
    <row r="14" spans="1:3">
      <c r="A14" s="161" t="s">
        <v>175</v>
      </c>
      <c r="B14" s="164">
        <v>36728</v>
      </c>
      <c r="C14" s="161">
        <f>SUM(B13:B14)</f>
        <v>114130</v>
      </c>
    </row>
    <row r="17" spans="1:3">
      <c r="A17" s="163" t="s">
        <v>176</v>
      </c>
    </row>
    <row r="18" spans="1:3">
      <c r="A18" s="161" t="s">
        <v>177</v>
      </c>
      <c r="B18" s="161">
        <v>1290</v>
      </c>
    </row>
    <row r="19" spans="1:3">
      <c r="A19" s="161" t="s">
        <v>178</v>
      </c>
      <c r="B19" s="164">
        <v>7081</v>
      </c>
      <c r="C19" s="164">
        <f>SUM(B18:B19)</f>
        <v>8371</v>
      </c>
    </row>
    <row r="21" spans="1:3">
      <c r="A21" s="165" t="s">
        <v>234</v>
      </c>
      <c r="C21" s="161">
        <f>SUM(C9:C19)</f>
        <v>186297</v>
      </c>
    </row>
    <row r="23" spans="1:3">
      <c r="A23" s="162" t="s">
        <v>180</v>
      </c>
    </row>
    <row r="24" spans="1:3">
      <c r="A24" s="161" t="s">
        <v>181</v>
      </c>
      <c r="B24" s="166">
        <v>112749</v>
      </c>
    </row>
    <row r="25" spans="1:3">
      <c r="A25" s="161" t="s">
        <v>182</v>
      </c>
      <c r="B25" s="161">
        <v>8558</v>
      </c>
    </row>
    <row r="26" spans="1:3">
      <c r="A26" s="161" t="s">
        <v>183</v>
      </c>
      <c r="B26" s="161">
        <v>3987</v>
      </c>
    </row>
    <row r="27" spans="1:3">
      <c r="A27" s="161" t="s">
        <v>184</v>
      </c>
      <c r="B27" s="161">
        <v>1781</v>
      </c>
    </row>
    <row r="28" spans="1:3">
      <c r="A28" s="161" t="s">
        <v>185</v>
      </c>
      <c r="B28" s="161">
        <v>3078</v>
      </c>
    </row>
    <row r="29" spans="1:3">
      <c r="A29" s="161" t="s">
        <v>186</v>
      </c>
      <c r="B29" s="161">
        <v>2360</v>
      </c>
    </row>
    <row r="30" spans="1:3">
      <c r="A30" s="161" t="s">
        <v>187</v>
      </c>
      <c r="B30" s="161">
        <v>1112</v>
      </c>
    </row>
    <row r="31" spans="1:3">
      <c r="A31" s="161" t="s">
        <v>188</v>
      </c>
      <c r="B31" s="161">
        <v>4925</v>
      </c>
    </row>
    <row r="32" spans="1:3">
      <c r="A32" s="161" t="s">
        <v>189</v>
      </c>
      <c r="B32" s="166">
        <v>75853</v>
      </c>
    </row>
    <row r="33" spans="1:3">
      <c r="A33" s="161" t="s">
        <v>190</v>
      </c>
      <c r="B33" s="161">
        <v>900</v>
      </c>
    </row>
    <row r="34" spans="1:3">
      <c r="A34" s="161" t="s">
        <v>191</v>
      </c>
      <c r="B34" s="161">
        <v>180</v>
      </c>
    </row>
    <row r="35" spans="1:3">
      <c r="A35" s="161" t="s">
        <v>33</v>
      </c>
      <c r="B35" s="164">
        <v>2104</v>
      </c>
    </row>
    <row r="37" spans="1:3">
      <c r="A37" s="165" t="s">
        <v>233</v>
      </c>
      <c r="C37" s="167">
        <f>SUM(B24:B35)</f>
        <v>217587</v>
      </c>
    </row>
    <row r="39" spans="1:3">
      <c r="A39" s="165" t="s">
        <v>232</v>
      </c>
      <c r="C39" s="168">
        <f>C21-C37</f>
        <v>-31290</v>
      </c>
    </row>
  </sheetData>
  <mergeCells count="2">
    <mergeCell ref="B3:C3"/>
    <mergeCell ref="A1:C1"/>
  </mergeCells>
  <phoneticPr fontId="8" type="noConversion"/>
  <printOptions horizontalCentered="1" gridLines="1"/>
  <pageMargins left="0.5" right="0.5" top="0.75" bottom="0.75" header="0.5" footer="0.5"/>
  <pageSetup orientation="landscape" r:id="rId1"/>
  <headerFooter alignWithMargins="0">
    <oddFooter>&amp;L&amp;D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5" sqref="A5"/>
    </sheetView>
  </sheetViews>
  <sheetFormatPr defaultRowHeight="15"/>
  <cols>
    <col min="1" max="1" width="22.28515625" customWidth="1"/>
    <col min="2" max="2" width="27.5703125" customWidth="1"/>
    <col min="3" max="12" width="12.7109375" customWidth="1"/>
  </cols>
  <sheetData>
    <row r="1" spans="1:13" s="6" customFormat="1">
      <c r="A1" s="1" t="s">
        <v>0</v>
      </c>
      <c r="B1" s="1" t="s">
        <v>1</v>
      </c>
      <c r="C1" s="170" t="s">
        <v>2</v>
      </c>
      <c r="D1" s="171"/>
      <c r="E1" s="2" t="s">
        <v>3</v>
      </c>
      <c r="F1" s="170" t="s">
        <v>4</v>
      </c>
      <c r="G1" s="171"/>
      <c r="H1" s="3" t="s">
        <v>3</v>
      </c>
      <c r="I1" s="170" t="s">
        <v>5</v>
      </c>
      <c r="J1" s="171"/>
      <c r="K1" s="59"/>
      <c r="L1" s="5" t="s">
        <v>6</v>
      </c>
    </row>
    <row r="2" spans="1:13" s="6" customFormat="1">
      <c r="A2" s="7"/>
      <c r="B2" s="7"/>
      <c r="C2" s="8"/>
      <c r="D2" s="9"/>
      <c r="E2" s="10" t="s">
        <v>7</v>
      </c>
      <c r="F2" s="8"/>
      <c r="G2" s="9"/>
      <c r="H2" s="11" t="s">
        <v>7</v>
      </c>
      <c r="I2" s="8"/>
      <c r="J2" s="9"/>
      <c r="K2" s="12" t="s">
        <v>8</v>
      </c>
      <c r="L2" s="12"/>
    </row>
    <row r="3" spans="1:13" s="6" customFormat="1">
      <c r="A3" s="13"/>
      <c r="B3" s="13"/>
      <c r="C3" s="14" t="s">
        <v>9</v>
      </c>
      <c r="D3" s="15" t="s">
        <v>10</v>
      </c>
      <c r="E3" s="16" t="s">
        <v>11</v>
      </c>
      <c r="F3" s="14" t="s">
        <v>9</v>
      </c>
      <c r="G3" s="15" t="s">
        <v>10</v>
      </c>
      <c r="H3" s="17" t="s">
        <v>11</v>
      </c>
      <c r="I3" s="14" t="s">
        <v>9</v>
      </c>
      <c r="J3" s="15" t="s">
        <v>12</v>
      </c>
      <c r="K3" s="18" t="s">
        <v>13</v>
      </c>
      <c r="L3" s="18" t="s">
        <v>9</v>
      </c>
    </row>
    <row r="4" spans="1:13">
      <c r="A4" s="19"/>
      <c r="B4" s="19"/>
      <c r="C4" s="20"/>
      <c r="D4" s="21"/>
      <c r="E4" s="22"/>
      <c r="F4" s="20"/>
      <c r="G4" s="21"/>
      <c r="H4" s="21"/>
      <c r="I4" s="20"/>
      <c r="J4" s="21"/>
      <c r="K4" s="22"/>
      <c r="L4" s="22"/>
    </row>
    <row r="5" spans="1:13" ht="15.75">
      <c r="A5" s="23">
        <v>4226</v>
      </c>
      <c r="B5" s="24" t="s">
        <v>68</v>
      </c>
      <c r="C5" s="25"/>
      <c r="D5" s="26"/>
      <c r="E5" s="27"/>
      <c r="F5" s="25"/>
      <c r="G5" s="26"/>
      <c r="H5" s="26"/>
      <c r="I5" s="25"/>
      <c r="J5" s="26"/>
      <c r="K5" s="27"/>
      <c r="L5" s="27"/>
    </row>
    <row r="6" spans="1:13">
      <c r="A6" s="28" t="s">
        <v>69</v>
      </c>
      <c r="B6" s="28" t="s">
        <v>14</v>
      </c>
      <c r="C6" s="29">
        <v>4039</v>
      </c>
      <c r="D6" s="30">
        <v>4090</v>
      </c>
      <c r="E6" s="31">
        <f>(D6-C6)/C6</f>
        <v>1.2626887843525626E-2</v>
      </c>
      <c r="F6" s="29">
        <v>4039</v>
      </c>
      <c r="G6" s="30">
        <v>3156</v>
      </c>
      <c r="H6" s="32">
        <f>(G6-F6)/F6</f>
        <v>-0.21861846991829662</v>
      </c>
      <c r="I6" s="29">
        <v>4039</v>
      </c>
      <c r="J6" s="30"/>
      <c r="K6" s="33"/>
      <c r="L6" s="33"/>
    </row>
    <row r="7" spans="1:13">
      <c r="A7" s="28" t="s">
        <v>70</v>
      </c>
      <c r="B7" s="28" t="s">
        <v>29</v>
      </c>
      <c r="C7" s="25">
        <v>0</v>
      </c>
      <c r="D7" s="26">
        <v>0</v>
      </c>
      <c r="E7" s="31">
        <v>0</v>
      </c>
      <c r="F7" s="25">
        <v>0</v>
      </c>
      <c r="G7" s="26">
        <v>86</v>
      </c>
      <c r="H7" s="32">
        <v>1</v>
      </c>
      <c r="I7" s="25">
        <v>0</v>
      </c>
      <c r="J7" s="26"/>
      <c r="K7" s="27"/>
      <c r="L7" s="27"/>
    </row>
    <row r="8" spans="1:13">
      <c r="A8" s="28" t="s">
        <v>71</v>
      </c>
      <c r="B8" s="28" t="s">
        <v>72</v>
      </c>
      <c r="C8" s="25">
        <v>0</v>
      </c>
      <c r="D8" s="26">
        <v>0</v>
      </c>
      <c r="E8" s="31">
        <v>0</v>
      </c>
      <c r="F8" s="25">
        <v>0</v>
      </c>
      <c r="G8" s="26">
        <v>71</v>
      </c>
      <c r="H8" s="32">
        <v>1</v>
      </c>
      <c r="I8" s="25">
        <v>0</v>
      </c>
      <c r="J8" s="26"/>
      <c r="K8" s="27"/>
      <c r="L8" s="27"/>
    </row>
    <row r="9" spans="1:13">
      <c r="A9" s="28" t="s">
        <v>73</v>
      </c>
      <c r="B9" s="28" t="s">
        <v>74</v>
      </c>
      <c r="C9" s="25">
        <v>725</v>
      </c>
      <c r="D9" s="26">
        <v>667</v>
      </c>
      <c r="E9" s="31">
        <f t="shared" ref="E9:E15" si="0">(D9-C9)/C9</f>
        <v>-0.08</v>
      </c>
      <c r="F9" s="25">
        <v>725</v>
      </c>
      <c r="G9" s="26">
        <v>0</v>
      </c>
      <c r="H9" s="32">
        <f t="shared" ref="H9:H15" si="1">(G9-F9)/F9</f>
        <v>-1</v>
      </c>
      <c r="I9" s="25">
        <v>725</v>
      </c>
      <c r="J9" s="26"/>
      <c r="K9" s="27"/>
      <c r="L9" s="27"/>
    </row>
    <row r="10" spans="1:13">
      <c r="A10" s="28" t="s">
        <v>75</v>
      </c>
      <c r="B10" s="28" t="s">
        <v>24</v>
      </c>
      <c r="C10" s="25">
        <v>1000</v>
      </c>
      <c r="D10" s="26">
        <v>581</v>
      </c>
      <c r="E10" s="31">
        <f t="shared" si="0"/>
        <v>-0.41899999999999998</v>
      </c>
      <c r="F10" s="25">
        <v>1000</v>
      </c>
      <c r="G10" s="26">
        <v>587</v>
      </c>
      <c r="H10" s="32">
        <f t="shared" si="1"/>
        <v>-0.41299999999999998</v>
      </c>
      <c r="I10" s="25">
        <v>1000</v>
      </c>
      <c r="J10" s="26"/>
      <c r="K10" s="27"/>
      <c r="L10" s="27"/>
    </row>
    <row r="11" spans="1:13">
      <c r="A11" s="28" t="s">
        <v>76</v>
      </c>
      <c r="B11" s="28" t="s">
        <v>77</v>
      </c>
      <c r="C11" s="25">
        <v>500</v>
      </c>
      <c r="D11" s="26">
        <v>741</v>
      </c>
      <c r="E11" s="31">
        <f t="shared" si="0"/>
        <v>0.48199999999999998</v>
      </c>
      <c r="F11" s="25">
        <v>500</v>
      </c>
      <c r="G11" s="26">
        <v>373</v>
      </c>
      <c r="H11" s="32">
        <f t="shared" si="1"/>
        <v>-0.254</v>
      </c>
      <c r="I11" s="25">
        <v>500</v>
      </c>
      <c r="J11" s="26"/>
      <c r="K11" s="27"/>
      <c r="L11" s="27"/>
    </row>
    <row r="12" spans="1:13">
      <c r="A12" s="28" t="s">
        <v>78</v>
      </c>
      <c r="B12" s="28" t="s">
        <v>79</v>
      </c>
      <c r="C12" s="25">
        <v>100</v>
      </c>
      <c r="D12" s="26">
        <v>50</v>
      </c>
      <c r="E12" s="31">
        <f t="shared" si="0"/>
        <v>-0.5</v>
      </c>
      <c r="F12" s="25">
        <v>100</v>
      </c>
      <c r="G12" s="26">
        <v>55</v>
      </c>
      <c r="H12" s="32">
        <f t="shared" si="1"/>
        <v>-0.45</v>
      </c>
      <c r="I12" s="25">
        <v>100</v>
      </c>
      <c r="J12" s="26"/>
      <c r="K12" s="27"/>
      <c r="L12" s="27"/>
    </row>
    <row r="13" spans="1:13">
      <c r="A13" s="28" t="s">
        <v>80</v>
      </c>
      <c r="B13" s="28" t="s">
        <v>81</v>
      </c>
      <c r="C13" s="25">
        <v>300</v>
      </c>
      <c r="D13" s="26">
        <v>135</v>
      </c>
      <c r="E13" s="31">
        <f t="shared" si="0"/>
        <v>-0.55000000000000004</v>
      </c>
      <c r="F13" s="25">
        <v>300</v>
      </c>
      <c r="G13" s="26">
        <v>0</v>
      </c>
      <c r="H13" s="32">
        <f t="shared" si="1"/>
        <v>-1</v>
      </c>
      <c r="I13" s="25">
        <v>300</v>
      </c>
      <c r="J13" s="26"/>
      <c r="K13" s="27"/>
      <c r="L13" s="27"/>
    </row>
    <row r="14" spans="1:13">
      <c r="A14" s="57" t="s">
        <v>82</v>
      </c>
      <c r="B14" s="57" t="s">
        <v>17</v>
      </c>
      <c r="C14" s="35">
        <v>9736</v>
      </c>
      <c r="D14" s="36">
        <v>7917</v>
      </c>
      <c r="E14" s="37">
        <f t="shared" si="0"/>
        <v>-0.18683237469186526</v>
      </c>
      <c r="F14" s="35">
        <v>9736</v>
      </c>
      <c r="G14" s="36">
        <v>11955</v>
      </c>
      <c r="H14" s="37">
        <f t="shared" si="1"/>
        <v>0.22791700903861956</v>
      </c>
      <c r="I14" s="35">
        <v>9736</v>
      </c>
      <c r="J14" s="36"/>
      <c r="K14" s="39"/>
      <c r="L14" s="39"/>
    </row>
    <row r="15" spans="1:13">
      <c r="A15" s="54" t="s">
        <v>83</v>
      </c>
      <c r="B15" s="13" t="s">
        <v>18</v>
      </c>
      <c r="C15" s="40">
        <f>SUM(C6:C14)</f>
        <v>16400</v>
      </c>
      <c r="D15" s="41">
        <f>SUM(D6:D14)</f>
        <v>14181</v>
      </c>
      <c r="E15" s="42">
        <f t="shared" si="0"/>
        <v>-0.1353048780487805</v>
      </c>
      <c r="F15" s="40">
        <f>SUM(F6:F14)</f>
        <v>16400</v>
      </c>
      <c r="G15" s="41">
        <f>SUM(G6:G14)</f>
        <v>16283</v>
      </c>
      <c r="H15" s="43">
        <f t="shared" si="1"/>
        <v>-7.1341463414634149E-3</v>
      </c>
      <c r="I15" s="40">
        <f>SUM(I6:I14)</f>
        <v>16400</v>
      </c>
      <c r="J15" s="41"/>
      <c r="K15" s="44"/>
      <c r="L15" s="44"/>
    </row>
    <row r="16" spans="1:13" hidden="1">
      <c r="A16" s="45" t="s">
        <v>84</v>
      </c>
      <c r="B16" s="46" t="s">
        <v>19</v>
      </c>
      <c r="C16" s="25">
        <v>309</v>
      </c>
      <c r="D16" s="26">
        <v>236</v>
      </c>
      <c r="E16" s="31"/>
      <c r="F16" s="25">
        <v>309</v>
      </c>
      <c r="G16" s="26">
        <v>241</v>
      </c>
      <c r="H16" s="32"/>
      <c r="I16" s="26"/>
      <c r="J16" s="26"/>
      <c r="K16" s="26"/>
      <c r="L16" s="32"/>
      <c r="M16" s="48"/>
    </row>
    <row r="17" spans="1:12" hidden="1">
      <c r="A17" s="62"/>
      <c r="B17" s="48" t="s">
        <v>23</v>
      </c>
      <c r="C17" s="30">
        <f>SUM(C15:C16)</f>
        <v>16709</v>
      </c>
      <c r="D17" s="30">
        <f>SUM(D15:D16)</f>
        <v>14417</v>
      </c>
      <c r="E17" s="32"/>
      <c r="F17" s="30">
        <f>SUM(F15:F16)</f>
        <v>16709</v>
      </c>
      <c r="G17" s="30">
        <f>SUM(G15:G16)</f>
        <v>16524</v>
      </c>
      <c r="H17" s="32"/>
      <c r="I17" s="30"/>
      <c r="J17" s="26"/>
      <c r="K17" s="26"/>
      <c r="L17" s="26"/>
    </row>
    <row r="18" spans="1:12">
      <c r="A18" s="48"/>
      <c r="B18" s="48"/>
      <c r="C18" s="26"/>
      <c r="D18" s="30"/>
      <c r="E18" s="30"/>
      <c r="F18" s="26"/>
      <c r="G18" s="26"/>
      <c r="H18" s="26"/>
      <c r="I18" s="26"/>
      <c r="J18" s="26"/>
      <c r="K18" s="26"/>
      <c r="L18" s="26"/>
    </row>
    <row r="19" spans="1:12">
      <c r="B19" s="49" t="s">
        <v>17</v>
      </c>
      <c r="C19" s="50"/>
      <c r="D19" s="51"/>
      <c r="E19" s="51"/>
      <c r="F19" s="50"/>
      <c r="G19" s="50"/>
      <c r="H19" s="50"/>
      <c r="I19" s="50"/>
      <c r="J19" s="50"/>
      <c r="K19" s="50"/>
      <c r="L19" s="50"/>
    </row>
    <row r="20" spans="1:12">
      <c r="B20" s="52" t="s">
        <v>85</v>
      </c>
      <c r="C20" s="50"/>
      <c r="D20" s="30">
        <v>5007</v>
      </c>
      <c r="E20" s="30"/>
      <c r="F20" s="30"/>
      <c r="G20" s="30">
        <v>2296</v>
      </c>
      <c r="H20" s="50" t="s">
        <v>86</v>
      </c>
      <c r="I20" s="50"/>
      <c r="J20" s="50"/>
      <c r="K20" s="50"/>
      <c r="L20" s="50"/>
    </row>
    <row r="21" spans="1:12">
      <c r="B21" s="52" t="s">
        <v>87</v>
      </c>
      <c r="C21" s="50"/>
      <c r="D21" s="26">
        <v>2175</v>
      </c>
      <c r="E21" s="30"/>
      <c r="F21" s="30"/>
      <c r="G21" s="26">
        <v>5401</v>
      </c>
      <c r="H21" t="s">
        <v>88</v>
      </c>
    </row>
    <row r="22" spans="1:12">
      <c r="B22" s="52" t="s">
        <v>89</v>
      </c>
      <c r="C22" s="50"/>
      <c r="D22" s="26">
        <v>634</v>
      </c>
      <c r="E22" s="30"/>
      <c r="F22" s="30"/>
      <c r="G22" s="26">
        <v>0</v>
      </c>
      <c r="H22" t="s">
        <v>90</v>
      </c>
    </row>
    <row r="23" spans="1:12">
      <c r="B23" s="52" t="s">
        <v>91</v>
      </c>
      <c r="C23" s="50"/>
      <c r="D23" s="26">
        <v>0</v>
      </c>
      <c r="E23" s="30"/>
      <c r="F23" s="30"/>
      <c r="G23" s="26">
        <f>340+2868.02</f>
        <v>3208.02</v>
      </c>
      <c r="H23" s="50" t="s">
        <v>92</v>
      </c>
    </row>
    <row r="24" spans="1:12">
      <c r="B24" s="52" t="s">
        <v>93</v>
      </c>
      <c r="C24" s="50"/>
      <c r="D24" s="26">
        <v>0</v>
      </c>
      <c r="E24" s="30"/>
      <c r="F24" s="30"/>
      <c r="G24" s="26">
        <v>1050</v>
      </c>
      <c r="H24" s="50" t="s">
        <v>94</v>
      </c>
    </row>
    <row r="25" spans="1:12">
      <c r="B25" s="52" t="s">
        <v>32</v>
      </c>
      <c r="C25" s="50"/>
      <c r="D25" s="36">
        <v>101</v>
      </c>
      <c r="E25" s="50"/>
      <c r="F25" s="50"/>
      <c r="G25" s="36">
        <v>0</v>
      </c>
    </row>
    <row r="26" spans="1:12">
      <c r="C26" s="50"/>
      <c r="D26" s="30">
        <f>SUM(D20:D25)</f>
        <v>7917</v>
      </c>
      <c r="E26" s="50"/>
      <c r="F26" s="50"/>
      <c r="G26" s="30">
        <f>SUM(G20:G25)</f>
        <v>11955.02</v>
      </c>
    </row>
    <row r="27" spans="1:12">
      <c r="B27" s="52" t="s">
        <v>25</v>
      </c>
      <c r="C27" s="50"/>
      <c r="D27" s="50"/>
      <c r="E27" s="50"/>
      <c r="F27" s="50"/>
      <c r="G27" s="50"/>
    </row>
    <row r="31" spans="1:12">
      <c r="B31" s="49" t="s">
        <v>26</v>
      </c>
    </row>
  </sheetData>
  <mergeCells count="3">
    <mergeCell ref="C1:D1"/>
    <mergeCell ref="F1:G1"/>
    <mergeCell ref="I1:J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yfs 4265</vt:lpstr>
      <vt:lpstr>Payroll Spreadsheet no steps</vt:lpstr>
      <vt:lpstr>Non Budget Accounts</vt:lpstr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Carver</dc:creator>
  <cp:lastModifiedBy>lmccall</cp:lastModifiedBy>
  <cp:lastPrinted>2014-02-06T14:46:08Z</cp:lastPrinted>
  <dcterms:created xsi:type="dcterms:W3CDTF">2012-11-28T15:44:44Z</dcterms:created>
  <dcterms:modified xsi:type="dcterms:W3CDTF">2014-02-06T14:48:45Z</dcterms:modified>
</cp:coreProperties>
</file>